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rasaindustries-my.sharepoint.com/personal/ryochi_nagai_rasaindustries_onmicrosoft_com/Documents/デスクトップ/実務関連/資料関連/社内資料/ユニコーン協会 ホームページ更新/"/>
    </mc:Choice>
  </mc:AlternateContent>
  <xr:revisionPtr revIDLastSave="325" documentId="8_{C811F67D-58C4-4935-9F66-CE49E3F8FFE4}" xr6:coauthVersionLast="47" xr6:coauthVersionMax="47" xr10:uidLastSave="{6EC1DCB8-4141-4F0D-8278-65C54100D351}"/>
  <workbookProtection workbookAlgorithmName="SHA-512" workbookHashValue="IeDw+rUwD0rfCxok3WSu2sV6JaJ3b8QiOCkmvfCPkRc7Do94LMMKVdj5LCJ8tv7fGWRe5mAiJB/CgQWAbV5VaA==" workbookSaltValue="5PpbF+n6D3EjIbTsy/KfEQ==" workbookSpinCount="100000" lockStructure="1"/>
  <bookViews>
    <workbookView xWindow="-120" yWindow="-120" windowWidth="29040" windowHeight="15720" activeTab="1" xr2:uid="{48639FB4-1753-420A-9357-B7B4F30DC093}"/>
  </bookViews>
  <sheets>
    <sheet name="労務単価" sheetId="30" r:id="rId1"/>
    <sheet name="条件入力" sheetId="1" r:id="rId2"/>
    <sheet name="積算代価" sheetId="7" r:id="rId3"/>
    <sheet name="供用日" sheetId="37" r:id="rId4"/>
    <sheet name="機械単価" sheetId="36" state="hidden" r:id="rId5"/>
    <sheet name="バランスシート" sheetId="35" state="hidden" r:id="rId6"/>
    <sheet name="推力計算" sheetId="39" state="hidden" r:id="rId7"/>
    <sheet name="内緒" sheetId="38" state="hidden" r:id="rId8"/>
  </sheets>
  <definedNames>
    <definedName name="_xlnm.Print_Area" localSheetId="5">バランスシート!$A$1:$K$375</definedName>
    <definedName name="_xlnm.Print_Area" localSheetId="3">供用日!$A$1:$L$40</definedName>
    <definedName name="_xlnm.Print_Area" localSheetId="1">条件入力!$A$1:$AF$31</definedName>
    <definedName name="_xlnm.Print_Area" localSheetId="6">推力計算!$A$39:$M$140</definedName>
    <definedName name="_xlnm.Print_Area" localSheetId="2">積算代価!$A$1:$R$692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9" i="36" l="1"/>
  <c r="J50" i="36"/>
  <c r="J51" i="36"/>
  <c r="J52" i="36"/>
  <c r="J53" i="36"/>
  <c r="J54" i="36"/>
  <c r="J55" i="36"/>
  <c r="J56" i="36"/>
  <c r="J57" i="36"/>
  <c r="J58" i="36"/>
  <c r="J59" i="36"/>
  <c r="J60" i="36"/>
  <c r="J61" i="36"/>
  <c r="J62" i="36"/>
  <c r="I49" i="36"/>
  <c r="I50" i="36"/>
  <c r="I51" i="36"/>
  <c r="I52" i="36"/>
  <c r="I53" i="36"/>
  <c r="I54" i="36"/>
  <c r="I55" i="36"/>
  <c r="I56" i="36"/>
  <c r="I57" i="36"/>
  <c r="I58" i="36"/>
  <c r="I59" i="36"/>
  <c r="I60" i="36"/>
  <c r="I61" i="36"/>
  <c r="I62" i="36"/>
  <c r="J48" i="36"/>
  <c r="I48" i="36"/>
  <c r="D52" i="36"/>
  <c r="D51" i="36"/>
  <c r="D50" i="36"/>
  <c r="D49" i="36"/>
  <c r="D48" i="36"/>
  <c r="D47" i="36"/>
  <c r="D46" i="36"/>
  <c r="D45" i="36"/>
  <c r="D44" i="36"/>
  <c r="R18" i="36"/>
  <c r="R15" i="36"/>
  <c r="R23" i="36"/>
  <c r="R24" i="36"/>
  <c r="R25" i="36"/>
  <c r="R26" i="36"/>
  <c r="R22" i="36"/>
  <c r="R21" i="36"/>
  <c r="R20" i="36"/>
  <c r="R19" i="36"/>
  <c r="R17" i="36"/>
  <c r="R16" i="36"/>
  <c r="D15" i="36"/>
  <c r="D26" i="36"/>
  <c r="D23" i="36"/>
  <c r="D24" i="36"/>
  <c r="D25" i="36"/>
  <c r="D22" i="36"/>
  <c r="D21" i="36"/>
  <c r="D20" i="36"/>
  <c r="D19" i="36"/>
  <c r="D18" i="36"/>
  <c r="D17" i="36"/>
  <c r="D16" i="36"/>
  <c r="N13" i="36"/>
  <c r="N12" i="36"/>
  <c r="N11" i="36"/>
  <c r="N10" i="36"/>
  <c r="N9" i="36"/>
  <c r="N8" i="36"/>
  <c r="N7" i="36"/>
  <c r="N6" i="36"/>
  <c r="E22" i="1"/>
  <c r="E21" i="1"/>
  <c r="E20" i="1"/>
  <c r="A14" i="7"/>
  <c r="O45" i="36"/>
  <c r="N45" i="36"/>
  <c r="M45" i="36"/>
  <c r="L45" i="36"/>
  <c r="K45" i="36"/>
  <c r="J45" i="36"/>
  <c r="I45" i="36"/>
  <c r="H45" i="36"/>
  <c r="G45" i="36"/>
  <c r="AC39" i="36"/>
  <c r="Z39" i="36"/>
  <c r="W39" i="36"/>
  <c r="T39" i="36"/>
  <c r="Q39" i="36"/>
  <c r="N39" i="36"/>
  <c r="K39" i="36"/>
  <c r="H39" i="36"/>
  <c r="E39" i="36"/>
  <c r="AC38" i="36"/>
  <c r="Z38" i="36"/>
  <c r="W38" i="36"/>
  <c r="T38" i="36"/>
  <c r="Q38" i="36"/>
  <c r="N38" i="36"/>
  <c r="K38" i="36"/>
  <c r="H38" i="36"/>
  <c r="E38" i="36"/>
  <c r="Q37" i="36"/>
  <c r="N37" i="36"/>
  <c r="K37" i="36"/>
  <c r="H37" i="36"/>
  <c r="E37" i="36"/>
  <c r="Q36" i="36"/>
  <c r="N36" i="36"/>
  <c r="K36" i="36"/>
  <c r="H36" i="36"/>
  <c r="E36" i="36"/>
  <c r="Q35" i="36"/>
  <c r="N35" i="36"/>
  <c r="K35" i="36"/>
  <c r="H35" i="36"/>
  <c r="E35" i="36"/>
  <c r="Q34" i="36"/>
  <c r="N34" i="36"/>
  <c r="K34" i="36"/>
  <c r="H34" i="36"/>
  <c r="E34" i="36"/>
  <c r="N33" i="36"/>
  <c r="K33" i="36"/>
  <c r="N32" i="36"/>
  <c r="K32" i="36"/>
  <c r="K13" i="36"/>
  <c r="H13" i="36"/>
  <c r="E13" i="36"/>
  <c r="K12" i="36"/>
  <c r="H12" i="36"/>
  <c r="E12" i="36"/>
  <c r="K11" i="36"/>
  <c r="H11" i="36"/>
  <c r="E11" i="36"/>
  <c r="K10" i="36"/>
  <c r="H10" i="36"/>
  <c r="E10" i="36"/>
  <c r="K9" i="36"/>
  <c r="H9" i="36"/>
  <c r="E9" i="36"/>
  <c r="K8" i="36"/>
  <c r="H8" i="36"/>
  <c r="E8" i="36"/>
  <c r="K7" i="36"/>
  <c r="H7" i="36"/>
  <c r="E7" i="36"/>
  <c r="K6" i="36"/>
  <c r="H6" i="36"/>
  <c r="E6" i="36"/>
  <c r="K92" i="7"/>
  <c r="I571" i="7"/>
  <c r="L571" i="7"/>
  <c r="I570" i="7"/>
  <c r="L570" i="7"/>
  <c r="L572" i="7" s="1"/>
  <c r="L573" i="7" s="1"/>
  <c r="I558" i="7" s="1"/>
  <c r="I563" i="7"/>
  <c r="L563" i="7" s="1"/>
  <c r="I564" i="7"/>
  <c r="L564" i="7"/>
  <c r="T30" i="37"/>
  <c r="E8" i="37" s="1"/>
  <c r="G7" i="35"/>
  <c r="N30" i="35" s="1"/>
  <c r="G11" i="35"/>
  <c r="G24" i="35"/>
  <c r="G30" i="35"/>
  <c r="G29" i="35" s="1"/>
  <c r="J55" i="35" s="1"/>
  <c r="G31" i="35"/>
  <c r="F248" i="35" s="1"/>
  <c r="G37" i="35"/>
  <c r="J53" i="35" s="1"/>
  <c r="J67" i="35" s="1"/>
  <c r="G39" i="35"/>
  <c r="G42" i="35"/>
  <c r="J84" i="35" s="1"/>
  <c r="G43" i="35"/>
  <c r="P364" i="35"/>
  <c r="C5" i="37"/>
  <c r="H5" i="37" s="1"/>
  <c r="D25" i="37" s="1"/>
  <c r="I5" i="37"/>
  <c r="E25" i="37" s="1"/>
  <c r="K5" i="37"/>
  <c r="I40" i="37" s="1"/>
  <c r="C6" i="37"/>
  <c r="H6" i="37"/>
  <c r="D26" i="37" s="1"/>
  <c r="I6" i="37"/>
  <c r="E26" i="37" s="1"/>
  <c r="J6" i="37"/>
  <c r="F26" i="37" s="1"/>
  <c r="K6" i="37"/>
  <c r="C7" i="37"/>
  <c r="L7" i="37" s="1"/>
  <c r="AB5" i="1" s="1"/>
  <c r="AC5" i="1" s="1"/>
  <c r="I7" i="37"/>
  <c r="E27" i="37"/>
  <c r="J7" i="37"/>
  <c r="F27" i="37" s="1"/>
  <c r="K7" i="37"/>
  <c r="C8" i="37"/>
  <c r="H8" i="37" s="1"/>
  <c r="D28" i="37" s="1"/>
  <c r="I8" i="37"/>
  <c r="E28" i="37" s="1"/>
  <c r="J8" i="37"/>
  <c r="F28" i="37"/>
  <c r="K8" i="37"/>
  <c r="C9" i="37"/>
  <c r="G9" i="37" s="1"/>
  <c r="C29" i="37" s="1"/>
  <c r="I9" i="37"/>
  <c r="E29" i="37" s="1"/>
  <c r="J9" i="37"/>
  <c r="F29" i="37" s="1"/>
  <c r="K9" i="37"/>
  <c r="C10" i="37"/>
  <c r="G10" i="37" s="1"/>
  <c r="D10" i="37"/>
  <c r="I10" i="37"/>
  <c r="E30" i="37" s="1"/>
  <c r="J10" i="37"/>
  <c r="F30" i="37"/>
  <c r="K10" i="37"/>
  <c r="C11" i="37"/>
  <c r="L11" i="37" s="1"/>
  <c r="AB9" i="1" s="1"/>
  <c r="D11" i="37"/>
  <c r="I11" i="37"/>
  <c r="J11" i="37"/>
  <c r="F31" i="37"/>
  <c r="K11" i="37"/>
  <c r="C12" i="37"/>
  <c r="G12" i="37" s="1"/>
  <c r="C32" i="37" s="1"/>
  <c r="D12" i="37"/>
  <c r="I12" i="37"/>
  <c r="E32" i="37" s="1"/>
  <c r="J12" i="37"/>
  <c r="F32" i="37" s="1"/>
  <c r="K12" i="37"/>
  <c r="C13" i="37"/>
  <c r="L13" i="37" s="1"/>
  <c r="AB11" i="1" s="1"/>
  <c r="D13" i="37"/>
  <c r="I13" i="37"/>
  <c r="E33" i="37" s="1"/>
  <c r="J13" i="37"/>
  <c r="F33" i="37"/>
  <c r="K13" i="37"/>
  <c r="C14" i="37"/>
  <c r="L14" i="37" s="1"/>
  <c r="AB12" i="1" s="1"/>
  <c r="H649" i="7" s="1"/>
  <c r="L649" i="7" s="1"/>
  <c r="D14" i="37"/>
  <c r="I14" i="37"/>
  <c r="E34" i="37" s="1"/>
  <c r="J14" i="37"/>
  <c r="F34" i="37" s="1"/>
  <c r="K14" i="37"/>
  <c r="C15" i="37"/>
  <c r="L15" i="37" s="1"/>
  <c r="AB13" i="1" s="1"/>
  <c r="D15" i="37"/>
  <c r="I15" i="37"/>
  <c r="E35" i="37" s="1"/>
  <c r="J15" i="37"/>
  <c r="K15" i="37"/>
  <c r="C16" i="37"/>
  <c r="H16" i="37" s="1"/>
  <c r="D36" i="37" s="1"/>
  <c r="D16" i="37"/>
  <c r="I16" i="37"/>
  <c r="E36" i="37" s="1"/>
  <c r="J16" i="37"/>
  <c r="F36" i="37" s="1"/>
  <c r="K16" i="37"/>
  <c r="C17" i="37"/>
  <c r="L17" i="37" s="1"/>
  <c r="AB15" i="1" s="1"/>
  <c r="D17" i="37"/>
  <c r="I17" i="37"/>
  <c r="E37" i="37" s="1"/>
  <c r="J17" i="37"/>
  <c r="F37" i="37"/>
  <c r="K17" i="37"/>
  <c r="C18" i="37"/>
  <c r="D18" i="37"/>
  <c r="I18" i="37"/>
  <c r="E38" i="37" s="1"/>
  <c r="J18" i="37"/>
  <c r="F38" i="37"/>
  <c r="K18" i="37"/>
  <c r="C19" i="37"/>
  <c r="L19" i="37" s="1"/>
  <c r="AB17" i="1" s="1"/>
  <c r="D19" i="37"/>
  <c r="I19" i="37"/>
  <c r="E39" i="37" s="1"/>
  <c r="K19" i="37"/>
  <c r="F25" i="37"/>
  <c r="G26" i="37"/>
  <c r="G27" i="37"/>
  <c r="T27" i="37"/>
  <c r="E5" i="37" s="1"/>
  <c r="U27" i="37"/>
  <c r="G28" i="37"/>
  <c r="T28" i="37"/>
  <c r="E6" i="37" s="1"/>
  <c r="U28" i="37"/>
  <c r="G29" i="37"/>
  <c r="T29" i="37"/>
  <c r="E7" i="37" s="1"/>
  <c r="U29" i="37"/>
  <c r="G30" i="37"/>
  <c r="D8" i="37"/>
  <c r="G8" i="37"/>
  <c r="U30" i="37"/>
  <c r="E31" i="37"/>
  <c r="G31" i="37"/>
  <c r="T31" i="37"/>
  <c r="E9" i="37" s="1"/>
  <c r="U31" i="37"/>
  <c r="G32" i="37"/>
  <c r="T32" i="37"/>
  <c r="E10" i="37" s="1"/>
  <c r="U32" i="37"/>
  <c r="G33" i="37"/>
  <c r="T33" i="37"/>
  <c r="E11" i="37" s="1"/>
  <c r="U33" i="37"/>
  <c r="G34" i="37"/>
  <c r="T34" i="37"/>
  <c r="E12" i="37" s="1"/>
  <c r="U34" i="37"/>
  <c r="F35" i="37"/>
  <c r="G35" i="37"/>
  <c r="T35" i="37"/>
  <c r="E13" i="37" s="1"/>
  <c r="U35" i="37"/>
  <c r="G36" i="37"/>
  <c r="T36" i="37"/>
  <c r="E14" i="37" s="1"/>
  <c r="U36" i="37"/>
  <c r="G37" i="37"/>
  <c r="T37" i="37"/>
  <c r="E15" i="37" s="1"/>
  <c r="U37" i="37"/>
  <c r="G38" i="37"/>
  <c r="T38" i="37"/>
  <c r="E16" i="37" s="1"/>
  <c r="U38" i="37"/>
  <c r="F39" i="37"/>
  <c r="G39" i="37"/>
  <c r="T39" i="37"/>
  <c r="E17" i="37" s="1"/>
  <c r="U39" i="37"/>
  <c r="T40" i="37"/>
  <c r="E18" i="37" s="1"/>
  <c r="U40" i="37"/>
  <c r="T41" i="37"/>
  <c r="E19" i="37" s="1"/>
  <c r="U41" i="37"/>
  <c r="L2" i="39"/>
  <c r="V28" i="39" s="1"/>
  <c r="K3" i="39"/>
  <c r="AD27" i="39" s="1"/>
  <c r="U4" i="39"/>
  <c r="K5" i="39"/>
  <c r="L5" i="39" s="1"/>
  <c r="I73" i="39" s="1"/>
  <c r="U5" i="39"/>
  <c r="U6" i="39"/>
  <c r="U7" i="39"/>
  <c r="U8" i="39"/>
  <c r="U9" i="39"/>
  <c r="U10" i="39"/>
  <c r="U11" i="39"/>
  <c r="K12" i="39"/>
  <c r="E90" i="39" s="1"/>
  <c r="U12" i="39"/>
  <c r="L13" i="39"/>
  <c r="J76" i="39" s="1"/>
  <c r="U13" i="39"/>
  <c r="L14" i="39"/>
  <c r="J81" i="39"/>
  <c r="U14" i="39"/>
  <c r="L15" i="39"/>
  <c r="J82" i="39" s="1"/>
  <c r="U15" i="39"/>
  <c r="U16" i="39"/>
  <c r="U17" i="39"/>
  <c r="U18" i="39"/>
  <c r="U19" i="39"/>
  <c r="U20" i="39"/>
  <c r="U21" i="39"/>
  <c r="U22" i="39"/>
  <c r="M23" i="39"/>
  <c r="U23" i="39"/>
  <c r="M24" i="39"/>
  <c r="U24" i="39"/>
  <c r="U25" i="39"/>
  <c r="L26" i="39"/>
  <c r="U26" i="39"/>
  <c r="L27" i="39"/>
  <c r="L40" i="39"/>
  <c r="N4" i="7"/>
  <c r="E29" i="7"/>
  <c r="H29" i="7" s="1"/>
  <c r="K60" i="7"/>
  <c r="G112" i="7"/>
  <c r="K68" i="7"/>
  <c r="K70" i="7"/>
  <c r="K74" i="7"/>
  <c r="K76" i="7"/>
  <c r="K80" i="7"/>
  <c r="K82" i="7"/>
  <c r="I114" i="7"/>
  <c r="I115" i="7"/>
  <c r="H148" i="7"/>
  <c r="I228" i="7"/>
  <c r="L228" i="7"/>
  <c r="L235" i="7"/>
  <c r="I236" i="7"/>
  <c r="L236" i="7" s="1"/>
  <c r="L237" i="7" s="1"/>
  <c r="L238" i="7" s="1"/>
  <c r="I223" i="7" s="1"/>
  <c r="I243" i="7"/>
  <c r="L243" i="7" s="1"/>
  <c r="H244" i="7"/>
  <c r="H245" i="7"/>
  <c r="H246" i="7"/>
  <c r="H247" i="7"/>
  <c r="I247" i="7"/>
  <c r="I252" i="7"/>
  <c r="L252" i="7" s="1"/>
  <c r="H253" i="7"/>
  <c r="H254" i="7"/>
  <c r="H255" i="7"/>
  <c r="H256" i="7"/>
  <c r="I256" i="7"/>
  <c r="I261" i="7"/>
  <c r="L261" i="7"/>
  <c r="I262" i="7"/>
  <c r="L262" i="7"/>
  <c r="L267" i="7" s="1"/>
  <c r="I266" i="7"/>
  <c r="L266" i="7"/>
  <c r="I271" i="7"/>
  <c r="L271" i="7"/>
  <c r="I272" i="7"/>
  <c r="L272" i="7"/>
  <c r="L276" i="7" s="1"/>
  <c r="I286" i="7"/>
  <c r="I287" i="7"/>
  <c r="H288" i="7"/>
  <c r="I288" i="7"/>
  <c r="H293" i="7"/>
  <c r="H296" i="7" s="1"/>
  <c r="I293" i="7"/>
  <c r="E305" i="7"/>
  <c r="I305" i="7"/>
  <c r="L305" i="7" s="1"/>
  <c r="H319" i="7"/>
  <c r="I330" i="7"/>
  <c r="L330" i="7" s="1"/>
  <c r="I331" i="7"/>
  <c r="L331" i="7" s="1"/>
  <c r="I332" i="7"/>
  <c r="L332" i="7" s="1"/>
  <c r="H337" i="7"/>
  <c r="H338" i="7"/>
  <c r="H339" i="7"/>
  <c r="H340" i="7"/>
  <c r="E341" i="7"/>
  <c r="I341" i="7"/>
  <c r="L341" i="7" s="1"/>
  <c r="H348" i="7"/>
  <c r="H349" i="7"/>
  <c r="H350" i="7"/>
  <c r="H351" i="7"/>
  <c r="H352" i="7"/>
  <c r="I353" i="7"/>
  <c r="L353" i="7" s="1"/>
  <c r="I354" i="7"/>
  <c r="L354" i="7" s="1"/>
  <c r="H361" i="7"/>
  <c r="H366" i="7"/>
  <c r="H367" i="7"/>
  <c r="H368" i="7"/>
  <c r="I382" i="7"/>
  <c r="L382" i="7" s="1"/>
  <c r="H388" i="7"/>
  <c r="H423" i="7"/>
  <c r="H433" i="7"/>
  <c r="H434" i="7"/>
  <c r="H435" i="7"/>
  <c r="H436" i="7"/>
  <c r="H437" i="7"/>
  <c r="H438" i="7"/>
  <c r="L438" i="7" s="1"/>
  <c r="I438" i="7"/>
  <c r="H444" i="7"/>
  <c r="H445" i="7"/>
  <c r="H446" i="7"/>
  <c r="H447" i="7"/>
  <c r="H448" i="7"/>
  <c r="H449" i="7"/>
  <c r="I449" i="7"/>
  <c r="H473" i="7"/>
  <c r="H474" i="7"/>
  <c r="H475" i="7"/>
  <c r="I476" i="7"/>
  <c r="L476" i="7" s="1"/>
  <c r="H477" i="7"/>
  <c r="H478" i="7"/>
  <c r="I486" i="7"/>
  <c r="L486" i="7"/>
  <c r="I496" i="7"/>
  <c r="L496" i="7" s="1"/>
  <c r="I497" i="7"/>
  <c r="L497" i="7" s="1"/>
  <c r="I502" i="7"/>
  <c r="L502" i="7"/>
  <c r="L503" i="7" s="1"/>
  <c r="I505" i="7"/>
  <c r="L505" i="7" s="1"/>
  <c r="I506" i="7"/>
  <c r="L506" i="7"/>
  <c r="I509" i="7"/>
  <c r="L509" i="7" s="1"/>
  <c r="H514" i="7"/>
  <c r="I514" i="7"/>
  <c r="I517" i="7"/>
  <c r="L517" i="7" s="1"/>
  <c r="I520" i="7"/>
  <c r="L520" i="7" s="1"/>
  <c r="H530" i="7"/>
  <c r="I530" i="7"/>
  <c r="I531" i="7"/>
  <c r="I537" i="7"/>
  <c r="I538" i="7"/>
  <c r="L538" i="7"/>
  <c r="I540" i="7"/>
  <c r="L540" i="7"/>
  <c r="I547" i="7"/>
  <c r="L547" i="7" s="1"/>
  <c r="L548" i="7"/>
  <c r="I552" i="7"/>
  <c r="L552" i="7"/>
  <c r="I596" i="7"/>
  <c r="F173" i="38" s="1"/>
  <c r="G607" i="7"/>
  <c r="I608" i="7"/>
  <c r="I613" i="7"/>
  <c r="F127" i="38" s="1"/>
  <c r="I614" i="7"/>
  <c r="G138" i="38" s="1"/>
  <c r="G615" i="7"/>
  <c r="I615" i="7"/>
  <c r="H131" i="38" s="1"/>
  <c r="H129" i="38"/>
  <c r="L615" i="7"/>
  <c r="I621" i="7"/>
  <c r="I623" i="7"/>
  <c r="I624" i="7"/>
  <c r="I630" i="7"/>
  <c r="L130" i="38" s="1"/>
  <c r="L128" i="38"/>
  <c r="G632" i="7"/>
  <c r="I632" i="7" s="1"/>
  <c r="C13" i="38"/>
  <c r="D13" i="38"/>
  <c r="E13" i="38"/>
  <c r="F13" i="38"/>
  <c r="G13" i="38"/>
  <c r="H13" i="38"/>
  <c r="I13" i="38"/>
  <c r="J13" i="38"/>
  <c r="E28" i="38" s="1"/>
  <c r="K13" i="38"/>
  <c r="L13" i="38"/>
  <c r="M13" i="38"/>
  <c r="N13" i="38"/>
  <c r="C16" i="38"/>
  <c r="C17" i="38"/>
  <c r="C18" i="38"/>
  <c r="C19" i="38"/>
  <c r="C20" i="38"/>
  <c r="C21" i="38"/>
  <c r="C22" i="38"/>
  <c r="C23" i="38"/>
  <c r="C24" i="38"/>
  <c r="C25" i="38"/>
  <c r="C26" i="38"/>
  <c r="C27" i="38"/>
  <c r="C28" i="38"/>
  <c r="C29" i="38"/>
  <c r="C30" i="38"/>
  <c r="C48" i="38"/>
  <c r="D48" i="38"/>
  <c r="H48" i="38"/>
  <c r="I48" i="38"/>
  <c r="C50" i="38"/>
  <c r="C51" i="38" s="1"/>
  <c r="D50" i="38"/>
  <c r="D51" i="38"/>
  <c r="H50" i="38"/>
  <c r="H51" i="38" s="1"/>
  <c r="I50" i="38"/>
  <c r="I51" i="38" s="1"/>
  <c r="C55" i="38"/>
  <c r="D55" i="38"/>
  <c r="H55" i="38"/>
  <c r="I55" i="38"/>
  <c r="C57" i="38"/>
  <c r="C58" i="38" s="1"/>
  <c r="D57" i="38"/>
  <c r="D58" i="38" s="1"/>
  <c r="H57" i="38"/>
  <c r="H58" i="38" s="1"/>
  <c r="I57" i="38"/>
  <c r="I58" i="38" s="1"/>
  <c r="C72" i="38"/>
  <c r="D72" i="38"/>
  <c r="E72" i="38"/>
  <c r="I605" i="7" s="1"/>
  <c r="H72" i="38"/>
  <c r="I72" i="38"/>
  <c r="J72" i="38"/>
  <c r="I607" i="7" s="1"/>
  <c r="C73" i="38"/>
  <c r="D73" i="38"/>
  <c r="E73" i="38"/>
  <c r="I606" i="7" s="1"/>
  <c r="C124" i="38"/>
  <c r="C144" i="38" s="1"/>
  <c r="C164" i="38" s="1"/>
  <c r="K124" i="38"/>
  <c r="C125" i="38"/>
  <c r="C145" i="38" s="1"/>
  <c r="K125" i="38"/>
  <c r="C126" i="38"/>
  <c r="C146" i="38" s="1"/>
  <c r="T146" i="38" s="1"/>
  <c r="K126" i="38"/>
  <c r="C127" i="38"/>
  <c r="S127" i="38" s="1"/>
  <c r="E127" i="38" s="1"/>
  <c r="C147" i="38"/>
  <c r="S147" i="38" s="1"/>
  <c r="E147" i="38" s="1"/>
  <c r="K127" i="38"/>
  <c r="C128" i="38"/>
  <c r="S128" i="38" s="1"/>
  <c r="E128" i="38" s="1"/>
  <c r="K128" i="38"/>
  <c r="C129" i="38"/>
  <c r="C149" i="38" s="1"/>
  <c r="K129" i="38"/>
  <c r="C130" i="38"/>
  <c r="S130" i="38"/>
  <c r="E130" i="38" s="1"/>
  <c r="K130" i="38"/>
  <c r="C131" i="38"/>
  <c r="S131" i="38" s="1"/>
  <c r="E131" i="38" s="1"/>
  <c r="K131" i="38"/>
  <c r="C132" i="38"/>
  <c r="K132" i="38"/>
  <c r="C133" i="38"/>
  <c r="C153" i="38" s="1"/>
  <c r="K133" i="38"/>
  <c r="C134" i="38"/>
  <c r="C154" i="38" s="1"/>
  <c r="S154" i="38" s="1"/>
  <c r="E154" i="38" s="1"/>
  <c r="K134" i="38"/>
  <c r="C135" i="38"/>
  <c r="C155" i="38" s="1"/>
  <c r="S155" i="38" s="1"/>
  <c r="E155" i="38" s="1"/>
  <c r="S135" i="38"/>
  <c r="E135" i="38" s="1"/>
  <c r="K135" i="38"/>
  <c r="C136" i="38"/>
  <c r="C156" i="38" s="1"/>
  <c r="K136" i="38"/>
  <c r="C137" i="38"/>
  <c r="K137" i="38"/>
  <c r="C138" i="38"/>
  <c r="S138" i="38" s="1"/>
  <c r="E138" i="38" s="1"/>
  <c r="K138" i="38"/>
  <c r="F144" i="38"/>
  <c r="F145" i="38"/>
  <c r="F146" i="38"/>
  <c r="F147" i="38"/>
  <c r="F148" i="38"/>
  <c r="F149" i="38"/>
  <c r="C150" i="38"/>
  <c r="C170" i="38" s="1"/>
  <c r="F150" i="38"/>
  <c r="F151" i="38"/>
  <c r="F152" i="38"/>
  <c r="F153" i="38"/>
  <c r="F154" i="38"/>
  <c r="F155" i="38"/>
  <c r="F156" i="38"/>
  <c r="F157" i="38"/>
  <c r="F158" i="38"/>
  <c r="G164" i="38"/>
  <c r="H164" i="38"/>
  <c r="G165" i="38"/>
  <c r="H165" i="38"/>
  <c r="G166" i="38"/>
  <c r="H166" i="38"/>
  <c r="G167" i="38"/>
  <c r="H167" i="38"/>
  <c r="G168" i="38"/>
  <c r="H168" i="38"/>
  <c r="G169" i="38"/>
  <c r="H169" i="38"/>
  <c r="G170" i="38"/>
  <c r="H170" i="38"/>
  <c r="G171" i="38"/>
  <c r="H171" i="38"/>
  <c r="G172" i="38"/>
  <c r="H172" i="38"/>
  <c r="G173" i="38"/>
  <c r="H173" i="38"/>
  <c r="G174" i="38"/>
  <c r="H174" i="38"/>
  <c r="G175" i="38"/>
  <c r="H175" i="38"/>
  <c r="G176" i="38"/>
  <c r="H176" i="38"/>
  <c r="G177" i="38"/>
  <c r="H177" i="38"/>
  <c r="G178" i="38"/>
  <c r="H178" i="38"/>
  <c r="P3" i="1"/>
  <c r="W3" i="1"/>
  <c r="P4" i="1"/>
  <c r="H49" i="36" s="1"/>
  <c r="T4" i="1"/>
  <c r="W4" i="1"/>
  <c r="Y4" i="1"/>
  <c r="P5" i="1"/>
  <c r="H50" i="36" s="1"/>
  <c r="T5" i="1"/>
  <c r="W5" i="1"/>
  <c r="Y5" i="1"/>
  <c r="P6" i="1"/>
  <c r="H51" i="36" s="1"/>
  <c r="T6" i="1"/>
  <c r="W6" i="1"/>
  <c r="Y6" i="1"/>
  <c r="Z6" i="1"/>
  <c r="I643" i="7" s="1"/>
  <c r="P7" i="1"/>
  <c r="H52" i="36" s="1"/>
  <c r="T7" i="1"/>
  <c r="W7" i="1"/>
  <c r="Y7" i="1"/>
  <c r="Z7" i="1"/>
  <c r="I644" i="7" s="1"/>
  <c r="P8" i="1"/>
  <c r="H53" i="36" s="1"/>
  <c r="T8" i="1"/>
  <c r="W8" i="1"/>
  <c r="Y8" i="1"/>
  <c r="Z8" i="1"/>
  <c r="I645" i="7" s="1"/>
  <c r="P9" i="1"/>
  <c r="H54" i="36" s="1"/>
  <c r="T9" i="1"/>
  <c r="W9" i="1"/>
  <c r="Y9" i="1"/>
  <c r="Z9" i="1"/>
  <c r="I646" i="7" s="1"/>
  <c r="P10" i="1"/>
  <c r="H55" i="36" s="1"/>
  <c r="T10" i="1"/>
  <c r="W10" i="1"/>
  <c r="Y10" i="1"/>
  <c r="Z10" i="1"/>
  <c r="I647" i="7" s="1"/>
  <c r="P11" i="1"/>
  <c r="H56" i="36" s="1"/>
  <c r="T11" i="1"/>
  <c r="W11" i="1"/>
  <c r="Y11" i="1"/>
  <c r="Z11" i="1"/>
  <c r="I648" i="7" s="1"/>
  <c r="P12" i="1"/>
  <c r="H57" i="36" s="1"/>
  <c r="T12" i="1"/>
  <c r="W12" i="1"/>
  <c r="Y12" i="1"/>
  <c r="Z12" i="1"/>
  <c r="I649" i="7" s="1"/>
  <c r="P13" i="1"/>
  <c r="H58" i="36" s="1"/>
  <c r="T13" i="1"/>
  <c r="W13" i="1"/>
  <c r="Y13" i="1"/>
  <c r="Z13" i="1"/>
  <c r="I650" i="7" s="1"/>
  <c r="I14" i="1"/>
  <c r="K78" i="7" s="1"/>
  <c r="P14" i="1"/>
  <c r="H59" i="36" s="1"/>
  <c r="T14" i="1"/>
  <c r="W14" i="1"/>
  <c r="Y14" i="1"/>
  <c r="Z14" i="1"/>
  <c r="I651" i="7" s="1"/>
  <c r="P15" i="1"/>
  <c r="H60" i="36" s="1"/>
  <c r="T15" i="1"/>
  <c r="W15" i="1"/>
  <c r="Y15" i="1"/>
  <c r="Z15" i="1"/>
  <c r="I652" i="7" s="1"/>
  <c r="P16" i="1"/>
  <c r="H61" i="36" s="1"/>
  <c r="T16" i="1"/>
  <c r="W16" i="1"/>
  <c r="Y16" i="1"/>
  <c r="Z16" i="1"/>
  <c r="I653" i="7" s="1"/>
  <c r="P17" i="1"/>
  <c r="H62" i="36" s="1"/>
  <c r="T17" i="1"/>
  <c r="W17" i="1"/>
  <c r="Z17" i="1"/>
  <c r="I654" i="7" s="1"/>
  <c r="E18" i="1"/>
  <c r="M18" i="1"/>
  <c r="G9" i="35" s="1"/>
  <c r="I369" i="35" s="1"/>
  <c r="T21" i="1"/>
  <c r="H422" i="7" s="1"/>
  <c r="T22" i="1"/>
  <c r="H462" i="7" s="1"/>
  <c r="H142" i="7"/>
  <c r="B51" i="30"/>
  <c r="D51" i="30" s="1"/>
  <c r="D7" i="37"/>
  <c r="D9" i="37"/>
  <c r="L8" i="37"/>
  <c r="AB6" i="1" s="1"/>
  <c r="H643" i="7" s="1"/>
  <c r="L643" i="7" s="1"/>
  <c r="H133" i="38"/>
  <c r="L170" i="7"/>
  <c r="L130" i="7"/>
  <c r="L180" i="7"/>
  <c r="D6" i="37"/>
  <c r="Z4" i="1"/>
  <c r="I641" i="7" s="1"/>
  <c r="Z5" i="1"/>
  <c r="I642" i="7" s="1"/>
  <c r="S125" i="38"/>
  <c r="E125" i="38" s="1"/>
  <c r="L6" i="37"/>
  <c r="AB4" i="1" s="1"/>
  <c r="L126" i="38"/>
  <c r="G634" i="7"/>
  <c r="I634" i="7" s="1"/>
  <c r="G625" i="7"/>
  <c r="I625" i="7"/>
  <c r="L530" i="7"/>
  <c r="J85" i="35"/>
  <c r="H10" i="37"/>
  <c r="D30" i="37"/>
  <c r="F131" i="38"/>
  <c r="L288" i="7" l="1"/>
  <c r="E22" i="38"/>
  <c r="G22" i="38" s="1"/>
  <c r="E21" i="38"/>
  <c r="G21" i="38" s="1"/>
  <c r="E24" i="38"/>
  <c r="G24" i="38" s="1"/>
  <c r="G126" i="38"/>
  <c r="G44" i="35"/>
  <c r="J86" i="35" s="1"/>
  <c r="L12" i="39"/>
  <c r="S129" i="38"/>
  <c r="E129" i="38" s="1"/>
  <c r="R27" i="35"/>
  <c r="L136" i="38"/>
  <c r="F130" i="38"/>
  <c r="O51" i="30"/>
  <c r="I281" i="7" s="1"/>
  <c r="L281" i="7" s="1"/>
  <c r="F135" i="38"/>
  <c r="S134" i="38"/>
  <c r="E134" i="38" s="1"/>
  <c r="H51" i="30"/>
  <c r="F125" i="38"/>
  <c r="L10" i="37"/>
  <c r="AB8" i="1" s="1"/>
  <c r="AC8" i="1" s="1"/>
  <c r="G7" i="37"/>
  <c r="C27" i="37" s="1"/>
  <c r="N134" i="38"/>
  <c r="N127" i="38"/>
  <c r="P129" i="38"/>
  <c r="P132" i="38"/>
  <c r="P124" i="38"/>
  <c r="G33" i="35"/>
  <c r="C148" i="38"/>
  <c r="S148" i="38" s="1"/>
  <c r="E148" i="38" s="1"/>
  <c r="H146" i="7"/>
  <c r="P17" i="39"/>
  <c r="K64" i="7"/>
  <c r="S133" i="38"/>
  <c r="E133" i="38" s="1"/>
  <c r="H138" i="7"/>
  <c r="X28" i="39"/>
  <c r="S126" i="38"/>
  <c r="E126" i="38" s="1"/>
  <c r="L16" i="37"/>
  <c r="AB14" i="1" s="1"/>
  <c r="H651" i="7" s="1"/>
  <c r="L651" i="7" s="1"/>
  <c r="T24" i="1"/>
  <c r="H141" i="7" s="1"/>
  <c r="H130" i="38"/>
  <c r="L129" i="38"/>
  <c r="H14" i="37"/>
  <c r="D34" i="37" s="1"/>
  <c r="C158" i="38"/>
  <c r="F51" i="30"/>
  <c r="L125" i="38"/>
  <c r="C51" i="30"/>
  <c r="K90" i="7" s="1"/>
  <c r="G11" i="37"/>
  <c r="H9" i="37"/>
  <c r="D29" i="37" s="1"/>
  <c r="H7" i="37"/>
  <c r="D27" i="37" s="1"/>
  <c r="H126" i="38"/>
  <c r="L133" i="38"/>
  <c r="J189" i="35"/>
  <c r="J190" i="35" s="1"/>
  <c r="J186" i="35"/>
  <c r="J187" i="35" s="1"/>
  <c r="H11" i="37"/>
  <c r="D31" i="37" s="1"/>
  <c r="F138" i="38"/>
  <c r="G40" i="37"/>
  <c r="H17" i="37"/>
  <c r="D37" i="37" s="1"/>
  <c r="L247" i="7"/>
  <c r="M28" i="35"/>
  <c r="Z28" i="39"/>
  <c r="L132" i="38"/>
  <c r="U29" i="39"/>
  <c r="N126" i="38"/>
  <c r="S28" i="35"/>
  <c r="P12" i="39"/>
  <c r="L137" i="38"/>
  <c r="F137" i="38"/>
  <c r="F128" i="38"/>
  <c r="G17" i="37"/>
  <c r="C37" i="37" s="1"/>
  <c r="G13" i="37"/>
  <c r="D132" i="38" s="1"/>
  <c r="L124" i="38"/>
  <c r="N137" i="38"/>
  <c r="P31" i="35"/>
  <c r="L134" i="38"/>
  <c r="D62" i="36"/>
  <c r="AE10" i="1" s="1"/>
  <c r="L663" i="7" s="1"/>
  <c r="P20" i="35"/>
  <c r="H13" i="37"/>
  <c r="D33" i="37" s="1"/>
  <c r="P128" i="38"/>
  <c r="H15" i="37"/>
  <c r="D35" i="37" s="1"/>
  <c r="T7" i="39"/>
  <c r="L131" i="38"/>
  <c r="H19" i="37"/>
  <c r="D39" i="37" s="1"/>
  <c r="G15" i="37"/>
  <c r="C35" i="37" s="1"/>
  <c r="F124" i="38"/>
  <c r="R25" i="39"/>
  <c r="P136" i="38"/>
  <c r="G128" i="38"/>
  <c r="L127" i="38"/>
  <c r="L135" i="38"/>
  <c r="Q25" i="39"/>
  <c r="E25" i="38"/>
  <c r="G25" i="38" s="1"/>
  <c r="C174" i="38"/>
  <c r="P125" i="38"/>
  <c r="H191" i="7"/>
  <c r="G133" i="38"/>
  <c r="L138" i="38"/>
  <c r="H116" i="7"/>
  <c r="C20" i="37"/>
  <c r="D63" i="36"/>
  <c r="AE11" i="1" s="1"/>
  <c r="L664" i="7" s="1"/>
  <c r="F133" i="38"/>
  <c r="E30" i="38"/>
  <c r="G30" i="38" s="1"/>
  <c r="P135" i="38"/>
  <c r="G124" i="38"/>
  <c r="F132" i="38"/>
  <c r="C167" i="38"/>
  <c r="T167" i="38" s="1"/>
  <c r="S132" i="38"/>
  <c r="E132" i="38" s="1"/>
  <c r="C152" i="38"/>
  <c r="S137" i="38"/>
  <c r="E137" i="38" s="1"/>
  <c r="C157" i="38"/>
  <c r="E40" i="37"/>
  <c r="I366" i="7"/>
  <c r="L366" i="7" s="1"/>
  <c r="I433" i="7"/>
  <c r="L433" i="7" s="1"/>
  <c r="I473" i="7"/>
  <c r="L473" i="7" s="1"/>
  <c r="I483" i="7"/>
  <c r="L483" i="7" s="1"/>
  <c r="I348" i="7"/>
  <c r="L348" i="7" s="1"/>
  <c r="I273" i="7"/>
  <c r="L273" i="7" s="1"/>
  <c r="I444" i="7"/>
  <c r="L444" i="7" s="1"/>
  <c r="T170" i="38"/>
  <c r="S170" i="38"/>
  <c r="E170" i="38" s="1"/>
  <c r="T156" i="38"/>
  <c r="S156" i="38"/>
  <c r="E156" i="38" s="1"/>
  <c r="C176" i="38"/>
  <c r="S146" i="38"/>
  <c r="E146" i="38" s="1"/>
  <c r="C166" i="38"/>
  <c r="T149" i="38"/>
  <c r="C169" i="38"/>
  <c r="S149" i="38"/>
  <c r="E149" i="38" s="1"/>
  <c r="I350" i="7"/>
  <c r="I225" i="7"/>
  <c r="L225" i="7" s="1"/>
  <c r="I317" i="7"/>
  <c r="I328" i="7"/>
  <c r="L328" i="7" s="1"/>
  <c r="I403" i="7"/>
  <c r="L403" i="7" s="1"/>
  <c r="I283" i="7"/>
  <c r="L283" i="7" s="1"/>
  <c r="I394" i="7"/>
  <c r="L394" i="7" s="1"/>
  <c r="C175" i="38"/>
  <c r="T155" i="38"/>
  <c r="T145" i="38"/>
  <c r="S145" i="38"/>
  <c r="E145" i="38" s="1"/>
  <c r="H18" i="37"/>
  <c r="D38" i="37" s="1"/>
  <c r="G18" i="37"/>
  <c r="D137" i="38" s="1"/>
  <c r="L18" i="37"/>
  <c r="AB16" i="1" s="1"/>
  <c r="AC16" i="1" s="1"/>
  <c r="I338" i="7"/>
  <c r="L338" i="7" s="1"/>
  <c r="C165" i="38"/>
  <c r="F40" i="37"/>
  <c r="K337" i="35"/>
  <c r="J81" i="35"/>
  <c r="J88" i="35" s="1"/>
  <c r="G38" i="35" s="1"/>
  <c r="I539" i="7"/>
  <c r="L539" i="7" s="1"/>
  <c r="L542" i="7" s="1"/>
  <c r="S153" i="38"/>
  <c r="E153" i="38" s="1"/>
  <c r="T153" i="38"/>
  <c r="C173" i="38"/>
  <c r="D59" i="36"/>
  <c r="AE7" i="1" s="1"/>
  <c r="L660" i="7" s="1"/>
  <c r="D57" i="36"/>
  <c r="AE5" i="1" s="1"/>
  <c r="L658" i="7" s="1"/>
  <c r="J51" i="30"/>
  <c r="H421" i="7"/>
  <c r="H127" i="38"/>
  <c r="G6" i="37"/>
  <c r="D125" i="38" s="1"/>
  <c r="M125" i="38" s="1"/>
  <c r="H464" i="7"/>
  <c r="F12" i="37"/>
  <c r="L51" i="30"/>
  <c r="G19" i="37"/>
  <c r="G14" i="37"/>
  <c r="P137" i="38"/>
  <c r="N138" i="38"/>
  <c r="C151" i="38"/>
  <c r="H136" i="38"/>
  <c r="H114" i="7"/>
  <c r="L114" i="7" s="1"/>
  <c r="T154" i="38"/>
  <c r="J57" i="35"/>
  <c r="K51" i="30"/>
  <c r="I51" i="30"/>
  <c r="I285" i="7" s="1"/>
  <c r="L285" i="7" s="1"/>
  <c r="N136" i="38"/>
  <c r="P126" i="38"/>
  <c r="G51" i="30"/>
  <c r="I494" i="7" s="1"/>
  <c r="L494" i="7" s="1"/>
  <c r="G129" i="38"/>
  <c r="G132" i="38"/>
  <c r="F129" i="38"/>
  <c r="G16" i="37"/>
  <c r="C36" i="37" s="1"/>
  <c r="L12" i="37"/>
  <c r="AB10" i="1" s="1"/>
  <c r="AC10" i="1" s="1"/>
  <c r="L586" i="7"/>
  <c r="G28" i="38"/>
  <c r="L449" i="7"/>
  <c r="D58" i="36"/>
  <c r="AE6" i="1" s="1"/>
  <c r="L659" i="7" s="1"/>
  <c r="H137" i="38"/>
  <c r="N135" i="38"/>
  <c r="N131" i="38"/>
  <c r="H128" i="38"/>
  <c r="H145" i="7"/>
  <c r="N128" i="38"/>
  <c r="P127" i="38"/>
  <c r="P130" i="38"/>
  <c r="H144" i="7"/>
  <c r="G131" i="38"/>
  <c r="J226" i="35"/>
  <c r="K353" i="35" s="1"/>
  <c r="L9" i="37"/>
  <c r="AB7" i="1" s="1"/>
  <c r="AC7" i="1" s="1"/>
  <c r="N51" i="30"/>
  <c r="Q51" i="30"/>
  <c r="I349" i="7" s="1"/>
  <c r="H463" i="7"/>
  <c r="S136" i="38"/>
  <c r="E136" i="38" s="1"/>
  <c r="N129" i="38"/>
  <c r="G130" i="38"/>
  <c r="H134" i="38"/>
  <c r="N125" i="38"/>
  <c r="G125" i="38"/>
  <c r="F126" i="38"/>
  <c r="G134" i="38"/>
  <c r="I302" i="7"/>
  <c r="L302" i="7" s="1"/>
  <c r="F134" i="38"/>
  <c r="H132" i="38"/>
  <c r="H136" i="7"/>
  <c r="I474" i="7"/>
  <c r="L474" i="7" s="1"/>
  <c r="N132" i="38"/>
  <c r="P134" i="38"/>
  <c r="P138" i="38"/>
  <c r="G127" i="38"/>
  <c r="K329" i="35"/>
  <c r="F329" i="35" s="1"/>
  <c r="S150" i="38"/>
  <c r="E150" i="38" s="1"/>
  <c r="H12" i="37"/>
  <c r="D32" i="37" s="1"/>
  <c r="D40" i="37" s="1"/>
  <c r="H48" i="36"/>
  <c r="D60" i="36"/>
  <c r="AE8" i="1" s="1"/>
  <c r="L661" i="7" s="1"/>
  <c r="D55" i="36"/>
  <c r="AE3" i="1" s="1"/>
  <c r="L656" i="7" s="1"/>
  <c r="N133" i="38"/>
  <c r="C31" i="38"/>
  <c r="N130" i="38"/>
  <c r="M51" i="30"/>
  <c r="P131" i="38"/>
  <c r="G137" i="38"/>
  <c r="T150" i="38"/>
  <c r="H135" i="38"/>
  <c r="H137" i="7"/>
  <c r="H140" i="7"/>
  <c r="E51" i="30"/>
  <c r="I436" i="7" s="1"/>
  <c r="L436" i="7" s="1"/>
  <c r="N124" i="38"/>
  <c r="P133" i="38"/>
  <c r="T147" i="38"/>
  <c r="G135" i="38"/>
  <c r="H138" i="38"/>
  <c r="L350" i="7"/>
  <c r="D56" i="36"/>
  <c r="AE4" i="1" s="1"/>
  <c r="L657" i="7" s="1"/>
  <c r="L256" i="7"/>
  <c r="P51" i="30"/>
  <c r="H124" i="38"/>
  <c r="G136" i="38"/>
  <c r="H125" i="38"/>
  <c r="F136" i="38"/>
  <c r="E16" i="38"/>
  <c r="G16" i="38" s="1"/>
  <c r="L514" i="7"/>
  <c r="L515" i="7" s="1"/>
  <c r="D61" i="36"/>
  <c r="AE9" i="1" s="1"/>
  <c r="L662" i="7" s="1"/>
  <c r="H415" i="7"/>
  <c r="G13" i="35"/>
  <c r="H416" i="7"/>
  <c r="H417" i="7"/>
  <c r="L21" i="39"/>
  <c r="H128" i="7"/>
  <c r="K66" i="7"/>
  <c r="H139" i="7"/>
  <c r="Q16" i="39"/>
  <c r="Q18" i="39"/>
  <c r="R29" i="39"/>
  <c r="Q14" i="39"/>
  <c r="AC6" i="1"/>
  <c r="F10" i="37"/>
  <c r="P10" i="39"/>
  <c r="Y28" i="39"/>
  <c r="R19" i="39"/>
  <c r="F13" i="37"/>
  <c r="V27" i="39"/>
  <c r="R12" i="39"/>
  <c r="Q15" i="39"/>
  <c r="P15" i="39"/>
  <c r="X27" i="39"/>
  <c r="R14" i="39"/>
  <c r="X29" i="39"/>
  <c r="AC9" i="1"/>
  <c r="H646" i="7"/>
  <c r="L646" i="7" s="1"/>
  <c r="N27" i="35"/>
  <c r="R16" i="39"/>
  <c r="F17" i="37"/>
  <c r="Q21" i="39"/>
  <c r="J70" i="39"/>
  <c r="V30" i="35"/>
  <c r="U28" i="39"/>
  <c r="Z27" i="39"/>
  <c r="T30" i="35"/>
  <c r="R17" i="39"/>
  <c r="R10" i="39"/>
  <c r="AC27" i="39"/>
  <c r="T9" i="39"/>
  <c r="R30" i="35"/>
  <c r="P24" i="39"/>
  <c r="V29" i="39"/>
  <c r="F7" i="37"/>
  <c r="Q27" i="35"/>
  <c r="T27" i="35"/>
  <c r="W28" i="39"/>
  <c r="S6" i="39"/>
  <c r="D131" i="38"/>
  <c r="D151" i="38" s="1"/>
  <c r="R21" i="39"/>
  <c r="T8" i="39"/>
  <c r="P20" i="39"/>
  <c r="P18" i="39"/>
  <c r="S4" i="39"/>
  <c r="F9" i="37"/>
  <c r="R22" i="39"/>
  <c r="P13" i="39"/>
  <c r="P26" i="39"/>
  <c r="E17" i="38"/>
  <c r="G17" i="38" s="1"/>
  <c r="N28" i="35"/>
  <c r="E18" i="38"/>
  <c r="G18" i="38" s="1"/>
  <c r="Z29" i="39"/>
  <c r="P19" i="39"/>
  <c r="S9" i="39"/>
  <c r="L3" i="39"/>
  <c r="M20" i="35"/>
  <c r="Q17" i="39"/>
  <c r="S8" i="39"/>
  <c r="AE27" i="39"/>
  <c r="E19" i="38"/>
  <c r="G19" i="38" s="1"/>
  <c r="O28" i="35"/>
  <c r="P21" i="39"/>
  <c r="R24" i="39"/>
  <c r="U27" i="39"/>
  <c r="Y27" i="39"/>
  <c r="S5" i="39"/>
  <c r="Y29" i="39"/>
  <c r="R20" i="39"/>
  <c r="W29" i="39"/>
  <c r="P16" i="39"/>
  <c r="P22" i="39"/>
  <c r="E23" i="38"/>
  <c r="G23" i="38" s="1"/>
  <c r="W30" i="35"/>
  <c r="T4" i="39"/>
  <c r="P11" i="39"/>
  <c r="Q26" i="39"/>
  <c r="AA27" i="39"/>
  <c r="E29" i="38"/>
  <c r="G29" i="38" s="1"/>
  <c r="F8" i="37"/>
  <c r="W27" i="39"/>
  <c r="P14" i="39"/>
  <c r="O31" i="35"/>
  <c r="T6" i="39"/>
  <c r="Q22" i="39"/>
  <c r="Q24" i="39"/>
  <c r="R13" i="39"/>
  <c r="E20" i="38"/>
  <c r="G20" i="38" s="1"/>
  <c r="R11" i="39"/>
  <c r="AF27" i="39"/>
  <c r="Q20" i="39"/>
  <c r="AB27" i="39"/>
  <c r="L24" i="39" s="1"/>
  <c r="D128" i="38"/>
  <c r="D148" i="38" s="1"/>
  <c r="H295" i="7"/>
  <c r="R23" i="39"/>
  <c r="F15" i="37"/>
  <c r="F6" i="37"/>
  <c r="Q19" i="39"/>
  <c r="E26" i="38"/>
  <c r="G26" i="38" s="1"/>
  <c r="E27" i="38"/>
  <c r="G27" i="38" s="1"/>
  <c r="P25" i="39"/>
  <c r="S30" i="35"/>
  <c r="R15" i="39"/>
  <c r="R26" i="39"/>
  <c r="S7" i="39"/>
  <c r="F165" i="38"/>
  <c r="Q23" i="39"/>
  <c r="P23" i="39"/>
  <c r="R18" i="39"/>
  <c r="T5" i="39"/>
  <c r="F14" i="37"/>
  <c r="F168" i="38"/>
  <c r="T28" i="35"/>
  <c r="Q30" i="35"/>
  <c r="M31" i="35"/>
  <c r="F176" i="38"/>
  <c r="M30" i="35"/>
  <c r="U31" i="35"/>
  <c r="F164" i="38"/>
  <c r="R31" i="35"/>
  <c r="F172" i="38"/>
  <c r="F167" i="38"/>
  <c r="F169" i="38"/>
  <c r="F177" i="38"/>
  <c r="F175" i="38"/>
  <c r="F170" i="38"/>
  <c r="F166" i="38"/>
  <c r="P28" i="35"/>
  <c r="N31" i="35"/>
  <c r="O20" i="35"/>
  <c r="F174" i="38"/>
  <c r="S31" i="35"/>
  <c r="F178" i="38"/>
  <c r="L349" i="7"/>
  <c r="M27" i="35"/>
  <c r="F171" i="38"/>
  <c r="AC12" i="1"/>
  <c r="D127" i="38"/>
  <c r="C28" i="37"/>
  <c r="AC17" i="1"/>
  <c r="H654" i="7"/>
  <c r="L654" i="7" s="1"/>
  <c r="D129" i="38"/>
  <c r="C30" i="37"/>
  <c r="F11" i="37"/>
  <c r="AC4" i="1"/>
  <c r="H641" i="7"/>
  <c r="L641" i="7" s="1"/>
  <c r="F18" i="37"/>
  <c r="F19" i="37"/>
  <c r="F16" i="37"/>
  <c r="AC15" i="1"/>
  <c r="H652" i="7"/>
  <c r="L652" i="7" s="1"/>
  <c r="H642" i="7"/>
  <c r="L642" i="7" s="1"/>
  <c r="AC13" i="1"/>
  <c r="H650" i="7"/>
  <c r="L650" i="7" s="1"/>
  <c r="AC11" i="1"/>
  <c r="H648" i="7"/>
  <c r="L648" i="7" s="1"/>
  <c r="L293" i="7"/>
  <c r="L294" i="7" s="1"/>
  <c r="T31" i="35"/>
  <c r="O30" i="35"/>
  <c r="X30" i="35"/>
  <c r="O27" i="35"/>
  <c r="R28" i="35"/>
  <c r="N20" i="35"/>
  <c r="X31" i="35"/>
  <c r="Z3" i="1"/>
  <c r="I640" i="7" s="1"/>
  <c r="Q28" i="35"/>
  <c r="V31" i="35"/>
  <c r="Q31" i="35"/>
  <c r="P27" i="35"/>
  <c r="W31" i="35"/>
  <c r="U30" i="35"/>
  <c r="S27" i="35"/>
  <c r="P30" i="35"/>
  <c r="T164" i="38"/>
  <c r="T144" i="38"/>
  <c r="L565" i="7"/>
  <c r="L566" i="7" s="1"/>
  <c r="I557" i="7" s="1"/>
  <c r="I327" i="7"/>
  <c r="L327" i="7" s="1"/>
  <c r="I227" i="7"/>
  <c r="L227" i="7" s="1"/>
  <c r="I437" i="7"/>
  <c r="L437" i="7" s="1"/>
  <c r="I446" i="7"/>
  <c r="L446" i="7" s="1"/>
  <c r="I380" i="7"/>
  <c r="L380" i="7" s="1"/>
  <c r="I339" i="7"/>
  <c r="L339" i="7" s="1"/>
  <c r="I246" i="7"/>
  <c r="L246" i="7" s="1"/>
  <c r="I284" i="7"/>
  <c r="L284" i="7" s="1"/>
  <c r="I304" i="7"/>
  <c r="L304" i="7" s="1"/>
  <c r="I351" i="7"/>
  <c r="L351" i="7" s="1"/>
  <c r="I318" i="7"/>
  <c r="I275" i="7"/>
  <c r="L275" i="7" s="1"/>
  <c r="I368" i="7"/>
  <c r="L368" i="7" s="1"/>
  <c r="I477" i="7"/>
  <c r="L477" i="7" s="1"/>
  <c r="I492" i="7"/>
  <c r="L492" i="7" s="1"/>
  <c r="I379" i="7"/>
  <c r="L379" i="7" s="1"/>
  <c r="I224" i="7"/>
  <c r="L224" i="7" s="1"/>
  <c r="I393" i="7"/>
  <c r="L393" i="7" s="1"/>
  <c r="AC14" i="1" l="1"/>
  <c r="I137" i="38"/>
  <c r="D126" i="38"/>
  <c r="D146" i="38" s="1"/>
  <c r="G146" i="38" s="1"/>
  <c r="H645" i="7"/>
  <c r="L645" i="7" s="1"/>
  <c r="L10" i="39"/>
  <c r="J75" i="39" s="1"/>
  <c r="I337" i="7"/>
  <c r="L337" i="7" s="1"/>
  <c r="I484" i="7"/>
  <c r="L484" i="7" s="1"/>
  <c r="I301" i="7"/>
  <c r="L301" i="7" s="1"/>
  <c r="L307" i="7" s="1"/>
  <c r="L309" i="7" s="1"/>
  <c r="L311" i="7" s="1"/>
  <c r="I296" i="7" s="1"/>
  <c r="L296" i="7" s="1"/>
  <c r="C168" i="38"/>
  <c r="S168" i="38" s="1"/>
  <c r="E168" i="38" s="1"/>
  <c r="T148" i="38"/>
  <c r="I226" i="7"/>
  <c r="L226" i="7" s="1"/>
  <c r="I402" i="7"/>
  <c r="L402" i="7" s="1"/>
  <c r="I416" i="7"/>
  <c r="C33" i="37"/>
  <c r="G148" i="38"/>
  <c r="I491" i="7"/>
  <c r="L491" i="7" s="1"/>
  <c r="I454" i="7"/>
  <c r="L454" i="7" s="1"/>
  <c r="I315" i="7"/>
  <c r="I263" i="7"/>
  <c r="L263" i="7" s="1"/>
  <c r="I417" i="7"/>
  <c r="L417" i="7" s="1"/>
  <c r="I377" i="7"/>
  <c r="L377" i="7" s="1"/>
  <c r="I326" i="7"/>
  <c r="L326" i="7" s="1"/>
  <c r="I448" i="7"/>
  <c r="L448" i="7" s="1"/>
  <c r="I485" i="7"/>
  <c r="L485" i="7" s="1"/>
  <c r="T158" i="38"/>
  <c r="C178" i="38"/>
  <c r="S158" i="38"/>
  <c r="E158" i="38" s="1"/>
  <c r="I265" i="7"/>
  <c r="L265" i="7" s="1"/>
  <c r="D135" i="38"/>
  <c r="I135" i="38" s="1"/>
  <c r="I282" i="7"/>
  <c r="L282" i="7" s="1"/>
  <c r="H653" i="7"/>
  <c r="L653" i="7" s="1"/>
  <c r="Q125" i="38"/>
  <c r="D145" i="38"/>
  <c r="D165" i="38" s="1"/>
  <c r="I395" i="7"/>
  <c r="L395" i="7" s="1"/>
  <c r="D130" i="38"/>
  <c r="O130" i="38" s="1"/>
  <c r="C31" i="37"/>
  <c r="O125" i="38"/>
  <c r="I316" i="7"/>
  <c r="I340" i="7"/>
  <c r="L340" i="7" s="1"/>
  <c r="O137" i="38"/>
  <c r="D134" i="38"/>
  <c r="D154" i="38" s="1"/>
  <c r="G154" i="38" s="1"/>
  <c r="D136" i="38"/>
  <c r="J136" i="38" s="1"/>
  <c r="I493" i="7"/>
  <c r="L493" i="7" s="1"/>
  <c r="L543" i="7"/>
  <c r="C38" i="37"/>
  <c r="S167" i="38"/>
  <c r="E167" i="38" s="1"/>
  <c r="J137" i="38"/>
  <c r="D157" i="38"/>
  <c r="D177" i="38" s="1"/>
  <c r="S174" i="38"/>
  <c r="E174" i="38" s="1"/>
  <c r="T174" i="38"/>
  <c r="I125" i="38"/>
  <c r="L665" i="7"/>
  <c r="G100" i="39"/>
  <c r="K100" i="39" s="1"/>
  <c r="J101" i="39" s="1"/>
  <c r="I129" i="39" s="1"/>
  <c r="I274" i="7"/>
  <c r="L274" i="7" s="1"/>
  <c r="L277" i="7" s="1"/>
  <c r="I245" i="7" s="1"/>
  <c r="L245" i="7" s="1"/>
  <c r="J125" i="38"/>
  <c r="C26" i="37"/>
  <c r="M137" i="38"/>
  <c r="I367" i="7"/>
  <c r="L367" i="7" s="1"/>
  <c r="L369" i="7" s="1"/>
  <c r="L370" i="7" s="1"/>
  <c r="I361" i="7" s="1"/>
  <c r="L361" i="7" s="1"/>
  <c r="L362" i="7" s="1"/>
  <c r="H644" i="7"/>
  <c r="L644" i="7" s="1"/>
  <c r="AD18" i="1"/>
  <c r="L585" i="7" s="1"/>
  <c r="I457" i="7"/>
  <c r="L457" i="7" s="1"/>
  <c r="I435" i="7"/>
  <c r="L435" i="7" s="1"/>
  <c r="T169" i="38"/>
  <c r="S169" i="38"/>
  <c r="E169" i="38" s="1"/>
  <c r="C34" i="37"/>
  <c r="D133" i="38"/>
  <c r="Q137" i="38"/>
  <c r="H647" i="7"/>
  <c r="L647" i="7" s="1"/>
  <c r="I303" i="7"/>
  <c r="L303" i="7" s="1"/>
  <c r="L306" i="7" s="1"/>
  <c r="L308" i="7" s="1"/>
  <c r="L310" i="7" s="1"/>
  <c r="I295" i="7" s="1"/>
  <c r="L295" i="7" s="1"/>
  <c r="I404" i="7"/>
  <c r="L404" i="7" s="1"/>
  <c r="I264" i="7"/>
  <c r="L264" i="7" s="1"/>
  <c r="I478" i="7"/>
  <c r="L478" i="7" s="1"/>
  <c r="I378" i="7"/>
  <c r="L378" i="7" s="1"/>
  <c r="D138" i="38"/>
  <c r="C39" i="37"/>
  <c r="S166" i="38"/>
  <c r="E166" i="38" s="1"/>
  <c r="T166" i="38"/>
  <c r="L6" i="39"/>
  <c r="J71" i="39" s="1"/>
  <c r="I516" i="7"/>
  <c r="L516" i="7" s="1"/>
  <c r="L518" i="7" s="1"/>
  <c r="I504" i="7"/>
  <c r="L504" i="7" s="1"/>
  <c r="L507" i="7" s="1"/>
  <c r="T165" i="38"/>
  <c r="S165" i="38"/>
  <c r="E165" i="38" s="1"/>
  <c r="T175" i="38"/>
  <c r="S175" i="38"/>
  <c r="E175" i="38" s="1"/>
  <c r="J59" i="35"/>
  <c r="J62" i="35"/>
  <c r="T176" i="38"/>
  <c r="S176" i="38"/>
  <c r="E176" i="38" s="1"/>
  <c r="C177" i="38"/>
  <c r="T157" i="38"/>
  <c r="S157" i="38"/>
  <c r="E157" i="38" s="1"/>
  <c r="I495" i="7"/>
  <c r="L495" i="7" s="1"/>
  <c r="I455" i="7"/>
  <c r="L455" i="7" s="1"/>
  <c r="I445" i="7"/>
  <c r="L445" i="7" s="1"/>
  <c r="I415" i="7"/>
  <c r="L415" i="7" s="1"/>
  <c r="I434" i="7"/>
  <c r="L434" i="7" s="1"/>
  <c r="S173" i="38"/>
  <c r="E173" i="38" s="1"/>
  <c r="T173" i="38"/>
  <c r="I255" i="7"/>
  <c r="L255" i="7" s="1"/>
  <c r="I475" i="7"/>
  <c r="L475" i="7" s="1"/>
  <c r="I396" i="7"/>
  <c r="L396" i="7" s="1"/>
  <c r="L397" i="7" s="1"/>
  <c r="L398" i="7" s="1"/>
  <c r="I388" i="7" s="1"/>
  <c r="L388" i="7" s="1"/>
  <c r="L389" i="7" s="1"/>
  <c r="L147" i="7" s="1"/>
  <c r="I551" i="7"/>
  <c r="L551" i="7" s="1"/>
  <c r="I447" i="7"/>
  <c r="L447" i="7" s="1"/>
  <c r="I381" i="7"/>
  <c r="L381" i="7" s="1"/>
  <c r="I329" i="7"/>
  <c r="L329" i="7" s="1"/>
  <c r="L333" i="7" s="1"/>
  <c r="I141" i="7" s="1"/>
  <c r="L141" i="7" s="1"/>
  <c r="I405" i="7"/>
  <c r="L405" i="7" s="1"/>
  <c r="I456" i="7"/>
  <c r="L456" i="7" s="1"/>
  <c r="S152" i="38"/>
  <c r="E152" i="38" s="1"/>
  <c r="T152" i="38"/>
  <c r="C172" i="38"/>
  <c r="T151" i="38"/>
  <c r="C171" i="38"/>
  <c r="S151" i="38"/>
  <c r="E151" i="38" s="1"/>
  <c r="G151" i="38" s="1"/>
  <c r="I151" i="38" s="1"/>
  <c r="O131" i="38"/>
  <c r="Q128" i="38"/>
  <c r="M128" i="38"/>
  <c r="J131" i="38"/>
  <c r="D171" i="38"/>
  <c r="L416" i="7"/>
  <c r="K140" i="39"/>
  <c r="G126" i="39" s="1"/>
  <c r="J77" i="39"/>
  <c r="D168" i="38"/>
  <c r="I128" i="38"/>
  <c r="O128" i="38"/>
  <c r="J128" i="38"/>
  <c r="L23" i="39"/>
  <c r="K111" i="39" s="1"/>
  <c r="G31" i="38"/>
  <c r="I31" i="38" s="1"/>
  <c r="Q131" i="38"/>
  <c r="I131" i="38"/>
  <c r="L7" i="39"/>
  <c r="L9" i="39" s="1"/>
  <c r="J74" i="39" s="1"/>
  <c r="L4" i="39"/>
  <c r="J72" i="39" s="1"/>
  <c r="H90" i="39" s="1"/>
  <c r="K90" i="39" s="1"/>
  <c r="F112" i="39" s="1"/>
  <c r="M131" i="38"/>
  <c r="L8" i="39"/>
  <c r="L355" i="7"/>
  <c r="G20" i="35"/>
  <c r="J132" i="38"/>
  <c r="M132" i="38"/>
  <c r="O132" i="38"/>
  <c r="Q132" i="38"/>
  <c r="I132" i="38"/>
  <c r="D152" i="38"/>
  <c r="I129" i="38"/>
  <c r="Q129" i="38"/>
  <c r="M129" i="38"/>
  <c r="D149" i="38"/>
  <c r="J129" i="38"/>
  <c r="O129" i="38"/>
  <c r="J127" i="38"/>
  <c r="Q127" i="38"/>
  <c r="O127" i="38"/>
  <c r="D147" i="38"/>
  <c r="M127" i="38"/>
  <c r="I127" i="38"/>
  <c r="L229" i="7"/>
  <c r="Q130" i="38" l="1"/>
  <c r="I126" i="38"/>
  <c r="Q126" i="38"/>
  <c r="D166" i="38"/>
  <c r="I166" i="38" s="1"/>
  <c r="J126" i="38"/>
  <c r="M126" i="38"/>
  <c r="O126" i="38"/>
  <c r="O135" i="38"/>
  <c r="K168" i="38"/>
  <c r="G145" i="38"/>
  <c r="I136" i="38"/>
  <c r="L498" i="7"/>
  <c r="I464" i="7" s="1"/>
  <c r="L464" i="7" s="1"/>
  <c r="Q134" i="38"/>
  <c r="J105" i="39"/>
  <c r="E101" i="39"/>
  <c r="E105" i="39" s="1"/>
  <c r="I168" i="38"/>
  <c r="L487" i="7"/>
  <c r="I463" i="7" s="1"/>
  <c r="L463" i="7" s="1"/>
  <c r="D174" i="38"/>
  <c r="I174" i="38" s="1"/>
  <c r="D155" i="38"/>
  <c r="G155" i="38" s="1"/>
  <c r="T168" i="38"/>
  <c r="O134" i="38"/>
  <c r="I134" i="38"/>
  <c r="J134" i="38"/>
  <c r="L439" i="7"/>
  <c r="I421" i="7" s="1"/>
  <c r="L421" i="7" s="1"/>
  <c r="L383" i="7"/>
  <c r="I146" i="7" s="1"/>
  <c r="L146" i="7" s="1"/>
  <c r="M134" i="38"/>
  <c r="L406" i="7"/>
  <c r="I148" i="7" s="1"/>
  <c r="L148" i="7" s="1"/>
  <c r="L450" i="7"/>
  <c r="I422" i="7" s="1"/>
  <c r="L422" i="7" s="1"/>
  <c r="L268" i="7"/>
  <c r="I253" i="7" s="1"/>
  <c r="L253" i="7" s="1"/>
  <c r="L342" i="7"/>
  <c r="J168" i="38"/>
  <c r="Q135" i="38"/>
  <c r="J135" i="38"/>
  <c r="J130" i="38"/>
  <c r="D150" i="38"/>
  <c r="M130" i="38"/>
  <c r="I130" i="38"/>
  <c r="S178" i="38"/>
  <c r="E178" i="38" s="1"/>
  <c r="T178" i="38"/>
  <c r="G157" i="38"/>
  <c r="L458" i="7"/>
  <c r="I423" i="7" s="1"/>
  <c r="L423" i="7" s="1"/>
  <c r="M135" i="38"/>
  <c r="I550" i="7"/>
  <c r="L550" i="7" s="1"/>
  <c r="Q136" i="38"/>
  <c r="D156" i="38"/>
  <c r="M136" i="38"/>
  <c r="I254" i="7"/>
  <c r="L254" i="7" s="1"/>
  <c r="G105" i="39"/>
  <c r="K105" i="39" s="1"/>
  <c r="J106" i="39"/>
  <c r="O136" i="38"/>
  <c r="O133" i="38"/>
  <c r="Q133" i="38"/>
  <c r="M133" i="38"/>
  <c r="J133" i="38"/>
  <c r="D153" i="38"/>
  <c r="I133" i="38"/>
  <c r="J63" i="35"/>
  <c r="J332" i="35" s="1"/>
  <c r="J331" i="35"/>
  <c r="J60" i="35"/>
  <c r="I332" i="35" s="1"/>
  <c r="I331" i="35"/>
  <c r="K331" i="35" s="1"/>
  <c r="K94" i="39"/>
  <c r="G127" i="39" s="1"/>
  <c r="O138" i="38"/>
  <c r="Q138" i="38"/>
  <c r="D158" i="38"/>
  <c r="M138" i="38"/>
  <c r="I138" i="38"/>
  <c r="J138" i="38"/>
  <c r="T171" i="38"/>
  <c r="S171" i="38"/>
  <c r="E171" i="38" s="1"/>
  <c r="I171" i="38" s="1"/>
  <c r="E106" i="39"/>
  <c r="E113" i="39" s="1"/>
  <c r="L479" i="7"/>
  <c r="I462" i="7" s="1"/>
  <c r="L462" i="7" s="1"/>
  <c r="L465" i="7" s="1"/>
  <c r="L175" i="7" s="1"/>
  <c r="L508" i="7"/>
  <c r="L510" i="7" s="1"/>
  <c r="I176" i="7" s="1"/>
  <c r="L519" i="7"/>
  <c r="L521" i="7" s="1"/>
  <c r="I177" i="7" s="1"/>
  <c r="T172" i="38"/>
  <c r="S172" i="38"/>
  <c r="E172" i="38" s="1"/>
  <c r="S177" i="38"/>
  <c r="E177" i="38" s="1"/>
  <c r="K177" i="38" s="1"/>
  <c r="T177" i="38"/>
  <c r="E112" i="39"/>
  <c r="G133" i="39"/>
  <c r="I133" i="39" s="1"/>
  <c r="G21" i="35"/>
  <c r="J165" i="38"/>
  <c r="K165" i="38"/>
  <c r="I165" i="38"/>
  <c r="D172" i="38"/>
  <c r="G152" i="38"/>
  <c r="D167" i="38"/>
  <c r="G147" i="38"/>
  <c r="G149" i="38"/>
  <c r="D169" i="38"/>
  <c r="L297" i="7"/>
  <c r="I139" i="7" s="1"/>
  <c r="L139" i="7" s="1"/>
  <c r="I144" i="7"/>
  <c r="L144" i="7" s="1"/>
  <c r="I145" i="7"/>
  <c r="L145" i="7" s="1"/>
  <c r="K166" i="38" l="1"/>
  <c r="J166" i="38"/>
  <c r="I428" i="7"/>
  <c r="L428" i="7" s="1"/>
  <c r="L429" i="7" s="1"/>
  <c r="J171" i="38"/>
  <c r="D175" i="38"/>
  <c r="I175" i="38" s="1"/>
  <c r="G129" i="39"/>
  <c r="G138" i="39" s="1"/>
  <c r="K171" i="38"/>
  <c r="L424" i="7"/>
  <c r="L168" i="7" s="1"/>
  <c r="J174" i="38"/>
  <c r="I549" i="7"/>
  <c r="L549" i="7" s="1"/>
  <c r="L553" i="7" s="1"/>
  <c r="I191" i="7" s="1"/>
  <c r="L191" i="7" s="1"/>
  <c r="L192" i="7" s="1"/>
  <c r="L122" i="7" s="1"/>
  <c r="I244" i="7"/>
  <c r="L244" i="7" s="1"/>
  <c r="L248" i="7" s="1"/>
  <c r="I136" i="7" s="1"/>
  <c r="L136" i="7" s="1"/>
  <c r="K174" i="38"/>
  <c r="L257" i="7"/>
  <c r="I137" i="7" s="1"/>
  <c r="L137" i="7" s="1"/>
  <c r="J107" i="39"/>
  <c r="I130" i="39" s="1"/>
  <c r="I131" i="39" s="1"/>
  <c r="G150" i="38"/>
  <c r="D170" i="38"/>
  <c r="J177" i="38"/>
  <c r="H112" i="39"/>
  <c r="G135" i="39" s="1"/>
  <c r="I135" i="39" s="1"/>
  <c r="I136" i="39" s="1"/>
  <c r="K332" i="35"/>
  <c r="I177" i="38"/>
  <c r="G156" i="38"/>
  <c r="D176" i="38"/>
  <c r="E107" i="39"/>
  <c r="G130" i="39" s="1"/>
  <c r="G131" i="39" s="1"/>
  <c r="D173" i="38"/>
  <c r="G153" i="38"/>
  <c r="G158" i="38"/>
  <c r="D178" i="38"/>
  <c r="I172" i="38"/>
  <c r="K172" i="38"/>
  <c r="J172" i="38"/>
  <c r="K169" i="38"/>
  <c r="I169" i="38"/>
  <c r="J169" i="38"/>
  <c r="K167" i="38"/>
  <c r="I167" i="38"/>
  <c r="J167" i="38"/>
  <c r="K132" i="39" l="1"/>
  <c r="K128" i="39"/>
  <c r="K175" i="38"/>
  <c r="G136" i="39"/>
  <c r="J175" i="38"/>
  <c r="J170" i="38"/>
  <c r="I170" i="38"/>
  <c r="K170" i="38"/>
  <c r="K176" i="38"/>
  <c r="I176" i="38"/>
  <c r="J176" i="38"/>
  <c r="F140" i="39"/>
  <c r="H140" i="39" s="1"/>
  <c r="T25" i="1" s="1"/>
  <c r="I173" i="38"/>
  <c r="K173" i="38"/>
  <c r="J173" i="38"/>
  <c r="I178" i="38"/>
  <c r="K178" i="38"/>
  <c r="J178" i="38"/>
  <c r="J25" i="39" l="1"/>
  <c r="K107" i="38"/>
  <c r="K95" i="38"/>
  <c r="F107" i="38"/>
  <c r="L95" i="38"/>
  <c r="J120" i="38"/>
  <c r="J107" i="38"/>
  <c r="J95" i="38"/>
  <c r="Q33" i="37"/>
  <c r="J62" i="7"/>
  <c r="E89" i="38"/>
  <c r="H91" i="38"/>
  <c r="I93" i="38"/>
  <c r="I95" i="38" s="1"/>
  <c r="K94" i="38"/>
  <c r="E101" i="38"/>
  <c r="H103" i="38"/>
  <c r="I105" i="38"/>
  <c r="I107" i="38" s="1"/>
  <c r="K106" i="38"/>
  <c r="E114" i="38"/>
  <c r="H116" i="38"/>
  <c r="I118" i="38"/>
  <c r="I120" i="38" s="1"/>
  <c r="K119" i="38"/>
  <c r="C102" i="38"/>
  <c r="Q34" i="37"/>
  <c r="E87" i="38"/>
  <c r="C94" i="38"/>
  <c r="E99" i="38"/>
  <c r="E90" i="38"/>
  <c r="D106" i="38"/>
  <c r="E94" i="38"/>
  <c r="E119" i="38"/>
  <c r="C91" i="38"/>
  <c r="E105" i="38"/>
  <c r="E104" i="38"/>
  <c r="E107" i="38" s="1"/>
  <c r="G100" i="38"/>
  <c r="F118" i="38"/>
  <c r="F120" i="38" s="1"/>
  <c r="Q30" i="37"/>
  <c r="G44" i="38"/>
  <c r="E116" i="38"/>
  <c r="H44" i="38"/>
  <c r="I591" i="7" s="1"/>
  <c r="H93" i="38"/>
  <c r="H92" i="38"/>
  <c r="D101" i="38"/>
  <c r="G103" i="38"/>
  <c r="H105" i="38"/>
  <c r="J106" i="38"/>
  <c r="G116" i="38"/>
  <c r="J119" i="38"/>
  <c r="Q36" i="37"/>
  <c r="G89" i="38"/>
  <c r="J93" i="38"/>
  <c r="L94" i="38"/>
  <c r="G101" i="38"/>
  <c r="J105" i="38"/>
  <c r="L106" i="38"/>
  <c r="G114" i="38"/>
  <c r="J118" i="38"/>
  <c r="L119" i="38"/>
  <c r="L93" i="38"/>
  <c r="Q31" i="37"/>
  <c r="D102" i="38"/>
  <c r="D115" i="38"/>
  <c r="D94" i="38"/>
  <c r="G112" i="38"/>
  <c r="C88" i="38"/>
  <c r="C113" i="38"/>
  <c r="D113" i="38"/>
  <c r="Q32" i="37"/>
  <c r="E88" i="38"/>
  <c r="G94" i="38"/>
  <c r="E100" i="38"/>
  <c r="E113" i="38"/>
  <c r="E118" i="38"/>
  <c r="E120" i="38"/>
  <c r="E117" i="38"/>
  <c r="Q35" i="37"/>
  <c r="D44" i="38"/>
  <c r="I587" i="7" s="1"/>
  <c r="D91" i="38"/>
  <c r="H94" i="38"/>
  <c r="F105" i="38"/>
  <c r="G113" i="38"/>
  <c r="H119" i="38"/>
  <c r="Q27" i="37"/>
  <c r="I94" i="38"/>
  <c r="J94" i="38"/>
  <c r="H118" i="38"/>
  <c r="H287" i="7"/>
  <c r="L287" i="7" s="1"/>
  <c r="C87" i="38"/>
  <c r="H89" i="38"/>
  <c r="K93" i="38"/>
  <c r="C99" i="38"/>
  <c r="H101" i="38"/>
  <c r="K105" i="38"/>
  <c r="C112" i="38"/>
  <c r="H114" i="38"/>
  <c r="K118" i="38"/>
  <c r="K120" i="38" s="1"/>
  <c r="D90" i="38"/>
  <c r="C106" i="38"/>
  <c r="C119" i="38"/>
  <c r="G99" i="38"/>
  <c r="E115" i="38"/>
  <c r="D119" i="38"/>
  <c r="H90" i="38"/>
  <c r="H102" i="38"/>
  <c r="H115" i="38"/>
  <c r="F119" i="38"/>
  <c r="E93" i="38"/>
  <c r="E92" i="38"/>
  <c r="E95" i="38"/>
  <c r="G106" i="38"/>
  <c r="G119" i="38"/>
  <c r="G88" i="38"/>
  <c r="D103" i="38"/>
  <c r="D116" i="38"/>
  <c r="D89" i="38"/>
  <c r="D114" i="38"/>
  <c r="D87" i="38"/>
  <c r="C90" i="38"/>
  <c r="D99" i="38"/>
  <c r="L105" i="38"/>
  <c r="L107" i="38" s="1"/>
  <c r="D112" i="38"/>
  <c r="C115" i="38"/>
  <c r="L118" i="38"/>
  <c r="L120" i="38" s="1"/>
  <c r="E112" i="38"/>
  <c r="Q37" i="37"/>
  <c r="G87" i="38"/>
  <c r="E102" i="38"/>
  <c r="Q29" i="37"/>
  <c r="G90" i="38"/>
  <c r="C93" i="38"/>
  <c r="C92" i="38"/>
  <c r="C95" i="38"/>
  <c r="C100" i="38"/>
  <c r="G102" i="38"/>
  <c r="C105" i="38"/>
  <c r="C107" i="38" s="1"/>
  <c r="C104" i="38"/>
  <c r="E106" i="38"/>
  <c r="G115" i="38"/>
  <c r="C118" i="38"/>
  <c r="D88" i="38"/>
  <c r="D93" i="38"/>
  <c r="F94" i="38"/>
  <c r="D100" i="38"/>
  <c r="D105" i="38"/>
  <c r="D107" i="38" s="1"/>
  <c r="S144" i="38" s="1"/>
  <c r="E144" i="38" s="1"/>
  <c r="F106" i="38"/>
  <c r="D118" i="38"/>
  <c r="D120" i="38" s="1"/>
  <c r="S124" i="38" s="1"/>
  <c r="E124" i="38" s="1"/>
  <c r="C44" i="38"/>
  <c r="C103" i="38"/>
  <c r="C116" i="38"/>
  <c r="Q38" i="37"/>
  <c r="F93" i="38"/>
  <c r="F95" i="38" s="1"/>
  <c r="H106" i="38"/>
  <c r="C89" i="38"/>
  <c r="E91" i="38"/>
  <c r="G93" i="38"/>
  <c r="G92" i="38"/>
  <c r="G95" i="38" s="1"/>
  <c r="C101" i="38"/>
  <c r="E103" i="38"/>
  <c r="G105" i="38"/>
  <c r="I106" i="38"/>
  <c r="C114" i="38"/>
  <c r="G118" i="38"/>
  <c r="G91" i="38"/>
  <c r="I119" i="38"/>
  <c r="I414" i="7"/>
  <c r="L413" i="7"/>
  <c r="I412" i="7"/>
  <c r="T131" i="38"/>
  <c r="T138" i="38"/>
  <c r="T128" i="38"/>
  <c r="C117" i="38"/>
  <c r="C120" i="38"/>
  <c r="T124" i="38" s="1"/>
  <c r="D104" i="38"/>
  <c r="H117" i="38"/>
  <c r="H120" i="38" s="1"/>
  <c r="H104" i="38"/>
  <c r="H107" i="38" s="1"/>
  <c r="D92" i="38"/>
  <c r="D95" i="38"/>
  <c r="S164" i="38" s="1"/>
  <c r="E164" i="38" s="1"/>
  <c r="D117" i="38"/>
  <c r="G117" i="38"/>
  <c r="G120" i="38"/>
  <c r="G104" i="38"/>
  <c r="I319" i="7"/>
  <c r="L319" i="7"/>
  <c r="H318" i="7"/>
  <c r="L318" i="7"/>
  <c r="H317" i="7"/>
  <c r="L317" i="7" s="1"/>
  <c r="H315" i="7"/>
  <c r="L315" i="7" s="1"/>
  <c r="H316" i="7"/>
  <c r="L316" i="7" s="1"/>
  <c r="I352" i="7"/>
  <c r="L352" i="7" s="1"/>
  <c r="L356" i="7" s="1"/>
  <c r="L343" i="7" s="1"/>
  <c r="L344" i="7" s="1"/>
  <c r="I142" i="7" s="1"/>
  <c r="L142" i="7" s="1"/>
  <c r="H286" i="7"/>
  <c r="L286" i="7" s="1"/>
  <c r="L411" i="7"/>
  <c r="Q28" i="37"/>
  <c r="D5" i="37" s="1"/>
  <c r="F5" i="37" s="1"/>
  <c r="G5" i="37" s="1"/>
  <c r="D124" i="38" s="1"/>
  <c r="G23" i="35"/>
  <c r="G25" i="35" s="1"/>
  <c r="T125" i="38" l="1"/>
  <c r="L289" i="7"/>
  <c r="I138" i="7" s="1"/>
  <c r="L138" i="7" s="1"/>
  <c r="T137" i="38"/>
  <c r="T130" i="38"/>
  <c r="L320" i="7"/>
  <c r="I140" i="7" s="1"/>
  <c r="L140" i="7" s="1"/>
  <c r="L149" i="7" s="1"/>
  <c r="L118" i="7" s="1"/>
  <c r="G107" i="38"/>
  <c r="J124" i="38"/>
  <c r="J139" i="38" s="1"/>
  <c r="L614" i="7" s="1"/>
  <c r="T126" i="38"/>
  <c r="H95" i="38"/>
  <c r="G22" i="35"/>
  <c r="J90" i="35"/>
  <c r="J92" i="35" s="1"/>
  <c r="J97" i="35" s="1"/>
  <c r="J69" i="35"/>
  <c r="H115" i="7"/>
  <c r="L115" i="7" s="1"/>
  <c r="G20" i="37"/>
  <c r="R18" i="1" s="1"/>
  <c r="L5" i="37"/>
  <c r="O124" i="38"/>
  <c r="O139" i="38" s="1"/>
  <c r="L634" i="7" s="1"/>
  <c r="D144" i="38"/>
  <c r="Q124" i="38"/>
  <c r="Q139" i="38" s="1"/>
  <c r="M124" i="38"/>
  <c r="M139" i="38" s="1"/>
  <c r="L630" i="7" s="1"/>
  <c r="I124" i="38"/>
  <c r="I139" i="38" s="1"/>
  <c r="L613" i="7" s="1"/>
  <c r="C25" i="37"/>
  <c r="C40" i="37" s="1"/>
  <c r="J40" i="37" s="1"/>
  <c r="T129" i="38"/>
  <c r="T133" i="38"/>
  <c r="T132" i="38"/>
  <c r="T135" i="38"/>
  <c r="T127" i="38"/>
  <c r="T136" i="38"/>
  <c r="T134" i="38"/>
  <c r="J94" i="35" l="1"/>
  <c r="J103" i="35" s="1"/>
  <c r="J197" i="35"/>
  <c r="J71" i="35"/>
  <c r="F246" i="35"/>
  <c r="S139" i="38"/>
  <c r="L632" i="7"/>
  <c r="D164" i="38"/>
  <c r="G144" i="38"/>
  <c r="G159" i="38" s="1"/>
  <c r="L597" i="7" s="1"/>
  <c r="D159" i="38"/>
  <c r="H558" i="7"/>
  <c r="L558" i="7" s="1"/>
  <c r="H621" i="7"/>
  <c r="L621" i="7" s="1"/>
  <c r="H624" i="7"/>
  <c r="L624" i="7" s="1"/>
  <c r="H623" i="7"/>
  <c r="L623" i="7" s="1"/>
  <c r="H625" i="7"/>
  <c r="L625" i="7" s="1"/>
  <c r="H622" i="7"/>
  <c r="L622" i="7" s="1"/>
  <c r="N19" i="1"/>
  <c r="L20" i="37"/>
  <c r="AB3" i="1"/>
  <c r="K86" i="7"/>
  <c r="H597" i="7"/>
  <c r="H613" i="7"/>
  <c r="H614" i="7"/>
  <c r="H632" i="7"/>
  <c r="H634" i="7"/>
  <c r="H615" i="7"/>
  <c r="H631" i="7"/>
  <c r="L631" i="7" s="1"/>
  <c r="H599" i="7"/>
  <c r="H600" i="7"/>
  <c r="H596" i="7"/>
  <c r="H630" i="7"/>
  <c r="L25" i="1"/>
  <c r="J98" i="35"/>
  <c r="J112" i="35"/>
  <c r="J95" i="35" l="1"/>
  <c r="J110" i="35" s="1"/>
  <c r="I340" i="35" s="1"/>
  <c r="J106" i="35"/>
  <c r="J100" i="35"/>
  <c r="J109" i="35"/>
  <c r="J73" i="35"/>
  <c r="J126" i="35" s="1"/>
  <c r="J76" i="35"/>
  <c r="J129" i="35" s="1"/>
  <c r="AC3" i="1"/>
  <c r="X18" i="1" s="1"/>
  <c r="H640" i="7"/>
  <c r="J107" i="35"/>
  <c r="J123" i="35"/>
  <c r="L626" i="7"/>
  <c r="L179" i="7" s="1"/>
  <c r="I339" i="35"/>
  <c r="J104" i="35"/>
  <c r="J120" i="35"/>
  <c r="J121" i="35" s="1"/>
  <c r="J150" i="35"/>
  <c r="J151" i="35" s="1"/>
  <c r="J321" i="35"/>
  <c r="J322" i="35" s="1"/>
  <c r="H584" i="7"/>
  <c r="T19" i="1"/>
  <c r="K88" i="7" s="1"/>
  <c r="H606" i="7"/>
  <c r="L606" i="7" s="1"/>
  <c r="H605" i="7"/>
  <c r="L605" i="7" s="1"/>
  <c r="H589" i="7"/>
  <c r="L589" i="7" s="1"/>
  <c r="H607" i="7"/>
  <c r="L607" i="7" s="1"/>
  <c r="H590" i="7"/>
  <c r="L590" i="7" s="1"/>
  <c r="H608" i="7"/>
  <c r="L608" i="7" s="1"/>
  <c r="H557" i="7"/>
  <c r="L557" i="7" s="1"/>
  <c r="L559" i="7" s="1"/>
  <c r="L123" i="7" s="1"/>
  <c r="H588" i="7"/>
  <c r="L588" i="7" s="1"/>
  <c r="H587" i="7"/>
  <c r="L587" i="7" s="1"/>
  <c r="H591" i="7"/>
  <c r="L591" i="7" s="1"/>
  <c r="H585" i="7"/>
  <c r="J147" i="35"/>
  <c r="J117" i="35"/>
  <c r="J118" i="35" s="1"/>
  <c r="J101" i="35"/>
  <c r="J339" i="35"/>
  <c r="J113" i="35"/>
  <c r="K164" i="38"/>
  <c r="K179" i="38" s="1"/>
  <c r="L600" i="7" s="1"/>
  <c r="I164" i="38"/>
  <c r="I179" i="38" s="1"/>
  <c r="L596" i="7" s="1"/>
  <c r="J164" i="38"/>
  <c r="J179" i="38" s="1"/>
  <c r="L599" i="7" s="1"/>
  <c r="I186" i="7"/>
  <c r="L186" i="7" s="1"/>
  <c r="L187" i="7" s="1"/>
  <c r="L121" i="7" s="1"/>
  <c r="H412" i="7"/>
  <c r="L412" i="7" s="1"/>
  <c r="H414" i="7"/>
  <c r="L414" i="7" s="1"/>
  <c r="H223" i="7"/>
  <c r="L223" i="7" s="1"/>
  <c r="L230" i="7" s="1"/>
  <c r="L231" i="7" s="1"/>
  <c r="I128" i="7" s="1"/>
  <c r="L128" i="7" s="1"/>
  <c r="G27" i="35"/>
  <c r="K84" i="7"/>
  <c r="E331" i="35" l="1"/>
  <c r="J77" i="35"/>
  <c r="E332" i="35" s="1"/>
  <c r="D331" i="35"/>
  <c r="J74" i="35"/>
  <c r="E339" i="35"/>
  <c r="J340" i="35"/>
  <c r="K340" i="35" s="1"/>
  <c r="D339" i="35"/>
  <c r="F339" i="35" s="1"/>
  <c r="J132" i="35"/>
  <c r="L609" i="7"/>
  <c r="L169" i="7" s="1"/>
  <c r="K339" i="35"/>
  <c r="J153" i="35"/>
  <c r="J154" i="35" s="1"/>
  <c r="J148" i="35"/>
  <c r="L418" i="7"/>
  <c r="L167" i="7" s="1"/>
  <c r="L640" i="7"/>
  <c r="L655" i="7" s="1"/>
  <c r="H655" i="7"/>
  <c r="J130" i="35" l="1"/>
  <c r="E340" i="35" s="1"/>
  <c r="L584" i="7"/>
  <c r="L592" i="7" s="1"/>
  <c r="L129" i="7" s="1"/>
  <c r="L131" i="7" s="1"/>
  <c r="L116" i="7" s="1"/>
  <c r="J159" i="35"/>
  <c r="J160" i="35" s="1"/>
  <c r="J348" i="35" s="1"/>
  <c r="J156" i="35"/>
  <c r="J169" i="35" s="1"/>
  <c r="J170" i="35" s="1"/>
  <c r="F331" i="35"/>
  <c r="J157" i="35"/>
  <c r="D332" i="35"/>
  <c r="F332" i="35" s="1"/>
  <c r="J127" i="35"/>
  <c r="J124" i="35"/>
  <c r="L171" i="7"/>
  <c r="L119" i="7" s="1"/>
  <c r="J137" i="35"/>
  <c r="J347" i="35"/>
  <c r="I348" i="35"/>
  <c r="J199" i="35" l="1"/>
  <c r="D347" i="35"/>
  <c r="J323" i="35"/>
  <c r="F374" i="35" s="1"/>
  <c r="J172" i="35"/>
  <c r="J162" i="35"/>
  <c r="I347" i="35"/>
  <c r="J165" i="35"/>
  <c r="K345" i="35" s="1"/>
  <c r="K347" i="35"/>
  <c r="D340" i="35"/>
  <c r="F340" i="35" s="1"/>
  <c r="J133" i="35"/>
  <c r="J135" i="35" s="1"/>
  <c r="F337" i="35" s="1"/>
  <c r="D355" i="35"/>
  <c r="J200" i="35"/>
  <c r="E347" i="35"/>
  <c r="J202" i="35"/>
  <c r="J173" i="35"/>
  <c r="E348" i="35" s="1"/>
  <c r="K348" i="35"/>
  <c r="I371" i="35" s="1"/>
  <c r="H176" i="7" s="1"/>
  <c r="L176" i="7" s="1"/>
  <c r="D348" i="35"/>
  <c r="J163" i="35"/>
  <c r="J175" i="35"/>
  <c r="F347" i="35" l="1"/>
  <c r="H529" i="7"/>
  <c r="L529" i="7" s="1"/>
  <c r="G32" i="35"/>
  <c r="E355" i="35"/>
  <c r="F355" i="35" s="1"/>
  <c r="J203" i="35"/>
  <c r="E356" i="35" s="1"/>
  <c r="D356" i="35"/>
  <c r="J205" i="35"/>
  <c r="J180" i="35"/>
  <c r="J176" i="35"/>
  <c r="F348" i="35"/>
  <c r="F356" i="35" l="1"/>
  <c r="O346" i="35"/>
  <c r="U261" i="35"/>
  <c r="U269" i="35" s="1"/>
  <c r="F247" i="35"/>
  <c r="D251" i="35" s="1"/>
  <c r="U282" i="35"/>
  <c r="J206" i="35"/>
  <c r="J178" i="35"/>
  <c r="F345" i="35" s="1"/>
  <c r="J208" i="35"/>
  <c r="J210" i="35"/>
  <c r="U260" i="35" l="1"/>
  <c r="U263" i="35" s="1"/>
  <c r="U334" i="35"/>
  <c r="U336" i="35" s="1"/>
  <c r="U321" i="35"/>
  <c r="U322" i="35" s="1"/>
  <c r="F353" i="35"/>
  <c r="U298" i="35"/>
  <c r="U301" i="35" s="1"/>
  <c r="U281" i="35"/>
  <c r="U283" i="35" s="1"/>
  <c r="F249" i="35"/>
  <c r="E251" i="35" s="1"/>
  <c r="P344" i="35" s="1"/>
  <c r="O344" i="35" l="1"/>
  <c r="G251" i="35" s="1"/>
  <c r="I251" i="35" s="1"/>
  <c r="P351" i="35" l="1"/>
  <c r="P350" i="35"/>
  <c r="O348" i="35"/>
  <c r="P349" i="35"/>
  <c r="P348" i="35"/>
  <c r="O350" i="35"/>
  <c r="O349" i="35"/>
  <c r="O351" i="35"/>
  <c r="J255" i="35"/>
  <c r="J256" i="35"/>
  <c r="J257" i="35"/>
  <c r="J258" i="35"/>
  <c r="J296" i="35" s="1"/>
  <c r="J295" i="35" s="1"/>
  <c r="J285" i="35" l="1"/>
  <c r="J288" i="35" s="1"/>
  <c r="J274" i="35"/>
  <c r="J263" i="35"/>
  <c r="D364" i="35" l="1"/>
  <c r="J301" i="35"/>
  <c r="J262" i="35"/>
  <c r="J287" i="35"/>
  <c r="J355" i="35" s="1"/>
  <c r="J356" i="35"/>
  <c r="J291" i="35"/>
  <c r="I356" i="35"/>
  <c r="K356" i="35" s="1"/>
  <c r="J284" i="35"/>
  <c r="J266" i="35"/>
  <c r="J269" i="35" s="1"/>
  <c r="I364" i="35"/>
  <c r="J273" i="35"/>
  <c r="J277" i="35"/>
  <c r="D363" i="35" l="1"/>
  <c r="J300" i="35"/>
  <c r="D372" i="35"/>
  <c r="J276" i="35"/>
  <c r="J363" i="35" s="1"/>
  <c r="J364" i="35"/>
  <c r="J280" i="35"/>
  <c r="J279" i="35"/>
  <c r="I363" i="35"/>
  <c r="K363" i="35" s="1"/>
  <c r="K364" i="35"/>
  <c r="J304" i="35"/>
  <c r="E372" i="35" s="1"/>
  <c r="J265" i="35"/>
  <c r="J268" i="35" s="1"/>
  <c r="E364" i="35"/>
  <c r="F364" i="35" s="1"/>
  <c r="I355" i="35"/>
  <c r="K355" i="35" s="1"/>
  <c r="J290" i="35"/>
  <c r="J311" i="35" s="1"/>
  <c r="J312" i="35" s="1"/>
  <c r="F372" i="35" l="1"/>
  <c r="I373" i="35" s="1"/>
  <c r="H177" i="7" s="1"/>
  <c r="L177" i="7" s="1"/>
  <c r="E363" i="35"/>
  <c r="F363" i="35" s="1"/>
  <c r="J303" i="35"/>
  <c r="E371" i="35" s="1"/>
  <c r="D371" i="35"/>
  <c r="K358" i="35"/>
  <c r="H531" i="7"/>
  <c r="L531" i="7" s="1"/>
  <c r="L533" i="7" s="1"/>
  <c r="L178" i="7" s="1"/>
  <c r="J307" i="35"/>
  <c r="L181" i="7" l="1"/>
  <c r="L120" i="7" s="1"/>
  <c r="L124" i="7" s="1"/>
  <c r="G40" i="7" s="1"/>
  <c r="F371" i="35"/>
  <c r="J306" i="35"/>
  <c r="L21" i="1" l="1"/>
  <c r="L23" i="1" s="1"/>
  <c r="L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岩城 圭吾</author>
  </authors>
  <commentList>
    <comment ref="M3" authorId="0" shapeId="0" xr:uid="{1ACE6E09-CC2A-47F9-AC65-E23174D0A2D6}">
      <text>
        <r>
          <rPr>
            <b/>
            <sz val="9"/>
            <color indexed="81"/>
            <rFont val="ＭＳ Ｐゴシック"/>
            <family val="3"/>
            <charset val="128"/>
          </rPr>
          <t>&lt;推進延長&gt;
1スパン毎の延長を記入下さい。
2スパン目はL2より記入下さい。</t>
        </r>
      </text>
    </comment>
    <comment ref="O3" authorId="0" shapeId="0" xr:uid="{D9F750F6-4BC9-4B6C-B196-0702AFF5E982}">
      <text>
        <r>
          <rPr>
            <b/>
            <sz val="9"/>
            <color indexed="81"/>
            <rFont val="ＭＳ Ｐゴシック"/>
            <family val="3"/>
            <charset val="128"/>
          </rPr>
          <t>&lt;土質条件&gt;
土質区分はミニコーン積算資料、
或いは右図参照下さい。</t>
        </r>
      </text>
    </comment>
    <comment ref="D8" authorId="0" shapeId="0" xr:uid="{0FFA0CC2-B8FF-46A4-B68E-F06847A0D76C}">
      <text>
        <r>
          <rPr>
            <b/>
            <sz val="9"/>
            <color indexed="81"/>
            <rFont val="ＭＳ Ｐゴシック"/>
            <family val="3"/>
            <charset val="128"/>
          </rPr>
          <t>&lt;マシン呼び径&gt;
Φ250
Φ300
Φ350
Φ400
Φ450
Φ500
Φ600
Φ700</t>
        </r>
      </text>
    </comment>
    <comment ref="I11" authorId="0" shapeId="0" xr:uid="{3A9EF5B1-831A-4751-A2B5-1D43FA0593F5}">
      <text>
        <r>
          <rPr>
            <b/>
            <sz val="9"/>
            <color indexed="81"/>
            <rFont val="ＭＳ Ｐゴシック"/>
            <family val="3"/>
            <charset val="128"/>
          </rPr>
          <t>N値が3以下の軟弱地盤で方向修正の為の地盤反力が足りない場合、地盤改良等の補助工法をご検討下さい。</t>
        </r>
      </text>
    </comment>
    <comment ref="I12" authorId="0" shapeId="0" xr:uid="{D7542314-14E6-40E6-8C91-724EE339F63C}">
      <text>
        <r>
          <rPr>
            <b/>
            <sz val="9"/>
            <color indexed="81"/>
            <rFont val="ＭＳ Ｐゴシック"/>
            <family val="3"/>
            <charset val="128"/>
          </rPr>
          <t>&lt;排泥流量参考&gt;
Φ250-300：0.25～0.35㎥/min
Φ350-400：0.45～0.65㎥/min
Φ450-500：0.7～0.9㎥/min
Φ600-700：1.3～1.6㎥/min</t>
        </r>
      </text>
    </comment>
    <comment ref="H15" authorId="0" shapeId="0" xr:uid="{91271A21-81E8-4312-BE35-8AF07A78D20D}">
      <text>
        <r>
          <rPr>
            <b/>
            <sz val="9"/>
            <color indexed="81"/>
            <rFont val="ＭＳ Ｐゴシック"/>
            <family val="3"/>
            <charset val="128"/>
          </rPr>
          <t>&lt;配管系参考&gt;
Φ250-300：50A
Φ350-500：80A
Φ600-700：100A</t>
        </r>
      </text>
    </comment>
  </commentList>
</comments>
</file>

<file path=xl/sharedStrings.xml><?xml version="1.0" encoding="utf-8"?>
<sst xmlns="http://schemas.openxmlformats.org/spreadsheetml/2006/main" count="3295" uniqueCount="1408">
  <si>
    <t>地区別労務単価</t>
    <rPh sb="0" eb="2">
      <t>チク</t>
    </rPh>
    <rPh sb="2" eb="3">
      <t>ベツ</t>
    </rPh>
    <rPh sb="3" eb="5">
      <t>ロウム</t>
    </rPh>
    <rPh sb="5" eb="7">
      <t>タンカ</t>
    </rPh>
    <phoneticPr fontId="2"/>
  </si>
  <si>
    <t>地方</t>
    <rPh sb="0" eb="2">
      <t>チホウ</t>
    </rPh>
    <phoneticPr fontId="2"/>
  </si>
  <si>
    <t>符号</t>
    <rPh sb="0" eb="2">
      <t>フゴウ</t>
    </rPh>
    <phoneticPr fontId="2"/>
  </si>
  <si>
    <t>県名</t>
    <rPh sb="0" eb="2">
      <t>ケンメイ</t>
    </rPh>
    <phoneticPr fontId="2"/>
  </si>
  <si>
    <t>特殊作業員</t>
    <rPh sb="0" eb="2">
      <t>トクシュ</t>
    </rPh>
    <rPh sb="2" eb="5">
      <t>サギョウイン</t>
    </rPh>
    <phoneticPr fontId="2"/>
  </si>
  <si>
    <t>普通作業員</t>
    <rPh sb="0" eb="2">
      <t>フツウ</t>
    </rPh>
    <rPh sb="2" eb="5">
      <t>サギョウイン</t>
    </rPh>
    <phoneticPr fontId="2"/>
  </si>
  <si>
    <t>とび工</t>
    <rPh sb="2" eb="3">
      <t>コウ</t>
    </rPh>
    <phoneticPr fontId="2"/>
  </si>
  <si>
    <t>電工</t>
    <rPh sb="0" eb="2">
      <t>デンコウ</t>
    </rPh>
    <phoneticPr fontId="2"/>
  </si>
  <si>
    <t>鉄筋工</t>
    <rPh sb="0" eb="2">
      <t>テッキン</t>
    </rPh>
    <rPh sb="2" eb="3">
      <t>コウ</t>
    </rPh>
    <phoneticPr fontId="2"/>
  </si>
  <si>
    <t>溶接工</t>
    <rPh sb="0" eb="2">
      <t>ヨウセツ</t>
    </rPh>
    <rPh sb="2" eb="3">
      <t>コウ</t>
    </rPh>
    <phoneticPr fontId="2"/>
  </si>
  <si>
    <t>特殊運転手</t>
    <rPh sb="0" eb="2">
      <t>トクシュ</t>
    </rPh>
    <rPh sb="2" eb="5">
      <t>ウンテンシュ</t>
    </rPh>
    <phoneticPr fontId="2"/>
  </si>
  <si>
    <t>一般運転手</t>
    <rPh sb="0" eb="2">
      <t>イッパン</t>
    </rPh>
    <rPh sb="2" eb="5">
      <t>ウンテンシュ</t>
    </rPh>
    <phoneticPr fontId="2"/>
  </si>
  <si>
    <t>トンネル特殊工</t>
    <rPh sb="4" eb="6">
      <t>トクシュ</t>
    </rPh>
    <rPh sb="6" eb="7">
      <t>コウ</t>
    </rPh>
    <phoneticPr fontId="2"/>
  </si>
  <si>
    <t>トンネル作業員</t>
    <rPh sb="4" eb="6">
      <t>サギョウ</t>
    </rPh>
    <rPh sb="6" eb="7">
      <t>イン</t>
    </rPh>
    <phoneticPr fontId="2"/>
  </si>
  <si>
    <t>トンネル世話役</t>
    <rPh sb="4" eb="7">
      <t>セワヤク</t>
    </rPh>
    <phoneticPr fontId="2"/>
  </si>
  <si>
    <t>土木一般世話役</t>
    <rPh sb="0" eb="2">
      <t>ドボク</t>
    </rPh>
    <rPh sb="2" eb="4">
      <t>イッパン</t>
    </rPh>
    <rPh sb="4" eb="7">
      <t>セワヤク</t>
    </rPh>
    <phoneticPr fontId="2"/>
  </si>
  <si>
    <t>配管工</t>
    <rPh sb="0" eb="3">
      <t>ハイカンコウ</t>
    </rPh>
    <phoneticPr fontId="2"/>
  </si>
  <si>
    <t>機械工</t>
    <rPh sb="0" eb="3">
      <t>キカイコウ</t>
    </rPh>
    <phoneticPr fontId="2"/>
  </si>
  <si>
    <t>北海道</t>
    <rPh sb="0" eb="3">
      <t>ホッカイドウ</t>
    </rPh>
    <phoneticPr fontId="2"/>
  </si>
  <si>
    <t>東北地方</t>
    <rPh sb="0" eb="2">
      <t>トウホク</t>
    </rPh>
    <rPh sb="2" eb="4">
      <t>チホウ</t>
    </rPh>
    <phoneticPr fontId="2"/>
  </si>
  <si>
    <t>青森県</t>
    <rPh sb="0" eb="2">
      <t>アオモリ</t>
    </rPh>
    <rPh sb="2" eb="3">
      <t>ケン</t>
    </rPh>
    <phoneticPr fontId="2"/>
  </si>
  <si>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</si>
  <si>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</si>
  <si>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</si>
  <si>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</si>
  <si>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3">
      <t>フクシマケン</t>
    </rPh>
    <phoneticPr fontId="2"/>
  </si>
  <si>
    <t>関東地方</t>
    <rPh sb="0" eb="2">
      <t>カントウ</t>
    </rPh>
    <rPh sb="2" eb="4">
      <t>チホウ</t>
    </rPh>
    <phoneticPr fontId="2"/>
  </si>
  <si>
    <t>茨城県</t>
    <rPh sb="0" eb="3">
      <t>イバラギケン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</si>
  <si>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</si>
  <si>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</si>
  <si>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</si>
  <si>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</si>
  <si>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</si>
  <si>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</si>
  <si>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山梨県</t>
    <rPh sb="0" eb="3">
      <t>ヤマナシケン</t>
    </rPh>
    <phoneticPr fontId="2"/>
  </si>
  <si>
    <t>長野県</t>
    <rPh sb="0" eb="3">
      <t>ナガノケン</t>
    </rPh>
    <phoneticPr fontId="2"/>
  </si>
  <si>
    <t>北陸地方</t>
    <rPh sb="0" eb="2">
      <t>ホクリク</t>
    </rPh>
    <rPh sb="2" eb="4">
      <t>チホウ</t>
    </rPh>
    <phoneticPr fontId="2"/>
  </si>
  <si>
    <t>新潟県</t>
    <rPh sb="0" eb="3">
      <t>ニイガタケン</t>
    </rPh>
    <phoneticPr fontId="2"/>
  </si>
  <si>
    <t>富山県</t>
    <rPh sb="0" eb="3">
      <t>トヤマケン</t>
    </rPh>
    <phoneticPr fontId="2"/>
  </si>
  <si>
    <t>石川県</t>
    <rPh sb="0" eb="3">
      <t>イシカワケン</t>
    </rPh>
    <phoneticPr fontId="2"/>
  </si>
  <si>
    <t>中部地方</t>
    <rPh sb="0" eb="2">
      <t>チュウブ</t>
    </rPh>
    <rPh sb="2" eb="4">
      <t>チホウ</t>
    </rPh>
    <phoneticPr fontId="2"/>
  </si>
  <si>
    <t>岐阜県</t>
    <rPh sb="0" eb="3">
      <t>ギフケン</t>
    </rPh>
    <phoneticPr fontId="2"/>
  </si>
  <si>
    <t>静岡県</t>
    <rPh sb="0" eb="3">
      <t>シズオカケン</t>
    </rPh>
    <phoneticPr fontId="2"/>
  </si>
  <si>
    <t>愛知県</t>
    <rPh sb="0" eb="2">
      <t>アイチケ</t>
    </rPh>
    <rPh sb="2" eb="3">
      <t>ケン</t>
    </rPh>
    <phoneticPr fontId="2"/>
  </si>
  <si>
    <t>三重県</t>
    <rPh sb="0" eb="3">
      <t>ミエケン</t>
    </rPh>
    <phoneticPr fontId="2"/>
  </si>
  <si>
    <t>近畿地方</t>
    <rPh sb="0" eb="2">
      <t>キンキ</t>
    </rPh>
    <rPh sb="2" eb="4">
      <t>チホウ</t>
    </rPh>
    <phoneticPr fontId="2"/>
  </si>
  <si>
    <t>福井県</t>
    <rPh sb="0" eb="3">
      <t>フクイケン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</si>
  <si>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</si>
  <si>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</si>
  <si>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</si>
  <si>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</si>
  <si>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</si>
  <si>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和歌山県</t>
    <rPh sb="0" eb="4">
      <t>ワカヤマケン</t>
    </rPh>
    <phoneticPr fontId="2"/>
  </si>
  <si>
    <t>中国地方</t>
    <rPh sb="0" eb="2">
      <t>チュウゴク</t>
    </rPh>
    <rPh sb="2" eb="4">
      <t>チホウ</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</si>
  <si>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</si>
  <si>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</si>
  <si>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</si>
  <si>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</si>
  <si>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</si>
  <si>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四国地方</t>
    <rPh sb="0" eb="2">
      <t>シコク</t>
    </rPh>
    <rPh sb="2" eb="4">
      <t>チホウ</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</si>
  <si>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</si>
  <si>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</si>
  <si>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</si>
  <si>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</si>
  <si>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九州地方</t>
    <rPh sb="0" eb="2">
      <t>キュウシュウ</t>
    </rPh>
    <rPh sb="2" eb="4">
      <t>チホウ</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</si>
  <si>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</si>
  <si>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</si>
  <si>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</si>
  <si>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</si>
  <si>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</si>
  <si>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</si>
  <si>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</si>
  <si>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t>
    <rPh sb="0" eb="2">
      <t>オキナワケン</t>
    </rPh>
    <phoneticPr fontId="2"/>
  </si>
  <si>
    <t>沖縄県</t>
    <rPh sb="0" eb="3">
      <t>オキナワケン</t>
    </rPh>
    <phoneticPr fontId="2"/>
  </si>
  <si>
    <t>ミニコーン工法 施工可否、積算入力シート</t>
    <rPh sb="5" eb="7">
      <t>コウホウ</t>
    </rPh>
    <rPh sb="8" eb="10">
      <t>セコウ</t>
    </rPh>
    <rPh sb="10" eb="12">
      <t>カヒ</t>
    </rPh>
    <rPh sb="13" eb="15">
      <t>セキサン</t>
    </rPh>
    <rPh sb="15" eb="17">
      <t>ニュウリョク</t>
    </rPh>
    <phoneticPr fontId="2"/>
  </si>
  <si>
    <t>推進延長ｍ</t>
    <rPh sb="0" eb="2">
      <t>スイシン</t>
    </rPh>
    <rPh sb="2" eb="4">
      <t>エンチョウ</t>
    </rPh>
    <phoneticPr fontId="2"/>
  </si>
  <si>
    <t>土質条件（1～8）</t>
    <rPh sb="0" eb="2">
      <t>ドシツ</t>
    </rPh>
    <rPh sb="2" eb="4">
      <t>ジョウケン</t>
    </rPh>
    <phoneticPr fontId="2"/>
  </si>
  <si>
    <t>１か２入力</t>
    <rPh sb="3" eb="5">
      <t>ニュウリョク</t>
    </rPh>
    <phoneticPr fontId="2"/>
  </si>
  <si>
    <t>有りの時のみ１</t>
    <rPh sb="0" eb="1">
      <t>ア</t>
    </rPh>
    <rPh sb="3" eb="4">
      <t>トキ</t>
    </rPh>
    <phoneticPr fontId="2"/>
  </si>
  <si>
    <t>本体損料</t>
    <rPh sb="0" eb="2">
      <t>ホンタイ</t>
    </rPh>
    <rPh sb="2" eb="4">
      <t>ソンリョウ</t>
    </rPh>
    <phoneticPr fontId="2"/>
  </si>
  <si>
    <t>掘進機</t>
    <rPh sb="0" eb="3">
      <t>クッシンキ</t>
    </rPh>
    <phoneticPr fontId="2"/>
  </si>
  <si>
    <t>掘進機個別</t>
    <rPh sb="0" eb="3">
      <t>クッシンキ</t>
    </rPh>
    <rPh sb="3" eb="5">
      <t>コベツ</t>
    </rPh>
    <phoneticPr fontId="2"/>
  </si>
  <si>
    <t>土質別ビット損料</t>
    <rPh sb="0" eb="2">
      <t>ドシツ</t>
    </rPh>
    <rPh sb="2" eb="3">
      <t>ベツ</t>
    </rPh>
    <rPh sb="6" eb="8">
      <t>ソンリョウ</t>
    </rPh>
    <phoneticPr fontId="2"/>
  </si>
  <si>
    <t>・オレンジセルに基本情報、黄色セルに必要条件入力下さい。</t>
    <rPh sb="8" eb="10">
      <t>キホン</t>
    </rPh>
    <rPh sb="10" eb="12">
      <t>ジョウホウ</t>
    </rPh>
    <rPh sb="13" eb="15">
      <t>キイロ</t>
    </rPh>
    <rPh sb="18" eb="20">
      <t>ヒツヨウ</t>
    </rPh>
    <rPh sb="20" eb="22">
      <t>ジョウケン</t>
    </rPh>
    <rPh sb="22" eb="24">
      <t>ニュウリョク</t>
    </rPh>
    <rPh sb="24" eb="25">
      <t>クダ</t>
    </rPh>
    <phoneticPr fontId="2"/>
  </si>
  <si>
    <t>（区間別）L</t>
    <rPh sb="1" eb="3">
      <t>クカン</t>
    </rPh>
    <rPh sb="3" eb="4">
      <t>ベツ</t>
    </rPh>
    <phoneticPr fontId="2"/>
  </si>
  <si>
    <t>区分</t>
    <rPh sb="0" eb="2">
      <t>クブン</t>
    </rPh>
    <phoneticPr fontId="2"/>
  </si>
  <si>
    <t>礫径</t>
    <rPh sb="0" eb="1">
      <t>レキ</t>
    </rPh>
    <rPh sb="1" eb="2">
      <t>ケイ</t>
    </rPh>
    <phoneticPr fontId="2"/>
  </si>
  <si>
    <t>発進区分</t>
    <rPh sb="0" eb="2">
      <t>ハッシン</t>
    </rPh>
    <rPh sb="2" eb="4">
      <t>クブン</t>
    </rPh>
    <phoneticPr fontId="2"/>
  </si>
  <si>
    <t>分割</t>
    <rPh sb="0" eb="2">
      <t>ブンカツ</t>
    </rPh>
    <phoneticPr fontId="2"/>
  </si>
  <si>
    <t>回収</t>
    <rPh sb="0" eb="2">
      <t>カイシュウ</t>
    </rPh>
    <phoneticPr fontId="2"/>
  </si>
  <si>
    <t>中間整備</t>
    <rPh sb="2" eb="4">
      <t>セイビ</t>
    </rPh>
    <phoneticPr fontId="2"/>
  </si>
  <si>
    <t>(円)</t>
    <rPh sb="1" eb="2">
      <t>エン</t>
    </rPh>
    <phoneticPr fontId="2"/>
  </si>
  <si>
    <t>供用日</t>
    <rPh sb="0" eb="2">
      <t>キョウヨウ</t>
    </rPh>
    <rPh sb="2" eb="3">
      <t>ビ</t>
    </rPh>
    <phoneticPr fontId="2"/>
  </si>
  <si>
    <t>損料</t>
    <rPh sb="0" eb="2">
      <t>ソンリョウ</t>
    </rPh>
    <phoneticPr fontId="2"/>
  </si>
  <si>
    <t>（１）摘要土質区分</t>
    <rPh sb="3" eb="5">
      <t>テキヨウ</t>
    </rPh>
    <rPh sb="5" eb="7">
      <t>ドシツ</t>
    </rPh>
    <rPh sb="7" eb="9">
      <t>クブン</t>
    </rPh>
    <phoneticPr fontId="2"/>
  </si>
  <si>
    <t>　施工可能な場合、推力計算セルに”OK”と表示されます。</t>
    <rPh sb="1" eb="3">
      <t>セコウ</t>
    </rPh>
    <rPh sb="3" eb="5">
      <t>カノウ</t>
    </rPh>
    <rPh sb="6" eb="8">
      <t>バアイ</t>
    </rPh>
    <rPh sb="9" eb="11">
      <t>スイリョク</t>
    </rPh>
    <rPh sb="11" eb="13">
      <t>ケイサン</t>
    </rPh>
    <rPh sb="21" eb="23">
      <t>ヒョウジ</t>
    </rPh>
    <phoneticPr fontId="2"/>
  </si>
  <si>
    <t>L1</t>
    <phoneticPr fontId="2"/>
  </si>
  <si>
    <t>mm</t>
    <phoneticPr fontId="2"/>
  </si>
  <si>
    <t>新規</t>
    <rPh sb="0" eb="2">
      <t>シンキ</t>
    </rPh>
    <phoneticPr fontId="2"/>
  </si>
  <si>
    <t>無</t>
    <rPh sb="0" eb="1">
      <t>ム</t>
    </rPh>
    <phoneticPr fontId="2"/>
  </si>
  <si>
    <t>C2</t>
    <phoneticPr fontId="2"/>
  </si>
  <si>
    <t>表１－１</t>
    <rPh sb="0" eb="1">
      <t>ヒョウ</t>
    </rPh>
    <phoneticPr fontId="2"/>
  </si>
  <si>
    <t>・詳細ｍ積算見積りは別タブ”積算代価”に表示されます。</t>
    <rPh sb="1" eb="3">
      <t>ショウサイ</t>
    </rPh>
    <rPh sb="4" eb="6">
      <t>セキサン</t>
    </rPh>
    <rPh sb="6" eb="8">
      <t>ミツモリ</t>
    </rPh>
    <rPh sb="10" eb="11">
      <t>ベツ</t>
    </rPh>
    <rPh sb="14" eb="16">
      <t>セキサン</t>
    </rPh>
    <rPh sb="16" eb="18">
      <t>ダイカ</t>
    </rPh>
    <rPh sb="20" eb="22">
      <t>ヒョウジ</t>
    </rPh>
    <phoneticPr fontId="2"/>
  </si>
  <si>
    <t>L2</t>
    <phoneticPr fontId="2"/>
  </si>
  <si>
    <t>D</t>
    <phoneticPr fontId="2"/>
  </si>
  <si>
    <t>土質</t>
    <rPh sb="0" eb="2">
      <t>ドシツ</t>
    </rPh>
    <phoneticPr fontId="2"/>
  </si>
  <si>
    <t>礫率、N値</t>
    <rPh sb="0" eb="1">
      <t>レキ</t>
    </rPh>
    <rPh sb="1" eb="2">
      <t>リツ</t>
    </rPh>
    <rPh sb="4" eb="5">
      <t>チ</t>
    </rPh>
    <phoneticPr fontId="2"/>
  </si>
  <si>
    <t>備考</t>
    <rPh sb="0" eb="2">
      <t>ビコウ</t>
    </rPh>
    <phoneticPr fontId="2"/>
  </si>
  <si>
    <t>・機械費用、労務費用は必要に応じて変更し活用下さい。</t>
    <rPh sb="1" eb="3">
      <t>キカイ</t>
    </rPh>
    <rPh sb="3" eb="5">
      <t>ヒヨウ</t>
    </rPh>
    <rPh sb="6" eb="8">
      <t>ロウム</t>
    </rPh>
    <rPh sb="8" eb="10">
      <t>ヒヨウ</t>
    </rPh>
    <rPh sb="11" eb="13">
      <t>ヒツヨウ</t>
    </rPh>
    <rPh sb="14" eb="15">
      <t>オウ</t>
    </rPh>
    <rPh sb="17" eb="19">
      <t>ヘンコウ</t>
    </rPh>
    <rPh sb="20" eb="22">
      <t>カツヨウ</t>
    </rPh>
    <rPh sb="22" eb="23">
      <t>クダ</t>
    </rPh>
    <phoneticPr fontId="2"/>
  </si>
  <si>
    <t>L3</t>
  </si>
  <si>
    <t>E</t>
    <phoneticPr fontId="2"/>
  </si>
  <si>
    <t>一軸圧縮強度σMPa</t>
    <rPh sb="0" eb="1">
      <t>イチ</t>
    </rPh>
    <rPh sb="1" eb="2">
      <t>ジク</t>
    </rPh>
    <rPh sb="2" eb="4">
      <t>アッシュク</t>
    </rPh>
    <rPh sb="4" eb="6">
      <t>キョウド</t>
    </rPh>
    <phoneticPr fontId="2"/>
  </si>
  <si>
    <t>見積日</t>
    <rPh sb="0" eb="2">
      <t>ミツモリ</t>
    </rPh>
    <rPh sb="2" eb="3">
      <t>ヒ</t>
    </rPh>
    <phoneticPr fontId="2"/>
  </si>
  <si>
    <t>L4</t>
  </si>
  <si>
    <t>Fa</t>
    <phoneticPr fontId="2"/>
  </si>
  <si>
    <t>1-A</t>
    <phoneticPr fontId="2"/>
  </si>
  <si>
    <t>普通土</t>
    <rPh sb="0" eb="2">
      <t>フツウ</t>
    </rPh>
    <rPh sb="2" eb="3">
      <t>ド</t>
    </rPh>
    <phoneticPr fontId="2"/>
  </si>
  <si>
    <t>礫率　：</t>
    <rPh sb="0" eb="1">
      <t>レキ</t>
    </rPh>
    <rPh sb="1" eb="2">
      <t>リツ</t>
    </rPh>
    <phoneticPr fontId="2"/>
  </si>
  <si>
    <t xml:space="preserve"> 10％以下</t>
    <rPh sb="4" eb="6">
      <t>イカ</t>
    </rPh>
    <phoneticPr fontId="2"/>
  </si>
  <si>
    <t>見積宛先</t>
    <rPh sb="0" eb="2">
      <t>ミツモリ</t>
    </rPh>
    <rPh sb="2" eb="4">
      <t>アテサキ</t>
    </rPh>
    <phoneticPr fontId="2"/>
  </si>
  <si>
    <t>ミニコーン工法サンプル</t>
    <rPh sb="5" eb="7">
      <t>コウホウ</t>
    </rPh>
    <phoneticPr fontId="2"/>
  </si>
  <si>
    <t>L5</t>
  </si>
  <si>
    <t>Fb</t>
    <phoneticPr fontId="2"/>
  </si>
  <si>
    <t>礫径　：</t>
    <rPh sb="0" eb="1">
      <t>レキ</t>
    </rPh>
    <rPh sb="1" eb="2">
      <t>ケイ</t>
    </rPh>
    <phoneticPr fontId="2"/>
  </si>
  <si>
    <t xml:space="preserve"> Max　20ｍｍ</t>
    <phoneticPr fontId="2"/>
  </si>
  <si>
    <t>呼び径</t>
    <rPh sb="0" eb="1">
      <t>ヨ</t>
    </rPh>
    <rPh sb="2" eb="3">
      <t>ケイ</t>
    </rPh>
    <phoneticPr fontId="2"/>
  </si>
  <si>
    <t>ｍｍ(250～700)</t>
    <phoneticPr fontId="2"/>
  </si>
  <si>
    <t>L6</t>
  </si>
  <si>
    <t>Fc</t>
    <phoneticPr fontId="2"/>
  </si>
  <si>
    <t>2-B</t>
    <phoneticPr fontId="2"/>
  </si>
  <si>
    <t xml:space="preserve"> 30％以下</t>
    <rPh sb="4" eb="6">
      <t>イカ</t>
    </rPh>
    <phoneticPr fontId="2"/>
  </si>
  <si>
    <t>土被り</t>
  </si>
  <si>
    <t>ｍ</t>
  </si>
  <si>
    <t>L7</t>
  </si>
  <si>
    <t>Fd</t>
    <phoneticPr fontId="2"/>
  </si>
  <si>
    <t xml:space="preserve"> 呼び径の20％以下</t>
    <rPh sb="1" eb="2">
      <t>ヨ</t>
    </rPh>
    <rPh sb="3" eb="4">
      <t>ケイ</t>
    </rPh>
    <rPh sb="8" eb="10">
      <t>イカ</t>
    </rPh>
    <phoneticPr fontId="2"/>
  </si>
  <si>
    <t>地下水位　-</t>
    <phoneticPr fontId="2"/>
  </si>
  <si>
    <t>m</t>
    <phoneticPr fontId="2"/>
  </si>
  <si>
    <t>真比重</t>
  </si>
  <si>
    <t>L8</t>
  </si>
  <si>
    <t>Fe</t>
    <phoneticPr fontId="2"/>
  </si>
  <si>
    <t>3-C-Ⅰ</t>
    <phoneticPr fontId="2"/>
  </si>
  <si>
    <t>玉石・巨礫混じり土</t>
    <rPh sb="3" eb="4">
      <t>キョ</t>
    </rPh>
    <rPh sb="4" eb="5">
      <t>レキ</t>
    </rPh>
    <rPh sb="5" eb="6">
      <t>マ</t>
    </rPh>
    <rPh sb="8" eb="9">
      <t>ド</t>
    </rPh>
    <phoneticPr fontId="2"/>
  </si>
  <si>
    <t xml:space="preserve"> 礫率30％以下で礫径は呼び径の50％以下または</t>
    <rPh sb="1" eb="2">
      <t>レキ</t>
    </rPh>
    <rPh sb="2" eb="3">
      <t>リツ</t>
    </rPh>
    <rPh sb="6" eb="8">
      <t>イカ</t>
    </rPh>
    <rPh sb="9" eb="10">
      <t>レキ</t>
    </rPh>
    <rPh sb="10" eb="11">
      <t>ケイ</t>
    </rPh>
    <rPh sb="12" eb="13">
      <t>ヨ</t>
    </rPh>
    <rPh sb="14" eb="15">
      <t>ケイ</t>
    </rPh>
    <rPh sb="19" eb="21">
      <t>イカ</t>
    </rPh>
    <phoneticPr fontId="2"/>
  </si>
  <si>
    <t>単位体積重量</t>
  </si>
  <si>
    <r>
      <t>t/ｍ</t>
    </r>
    <r>
      <rPr>
        <vertAlign val="superscript"/>
        <sz val="10"/>
        <color indexed="10"/>
        <rFont val="ＭＳ Ｐゴシック"/>
        <family val="3"/>
        <charset val="128"/>
      </rPr>
      <t>3</t>
    </r>
    <phoneticPr fontId="2"/>
  </si>
  <si>
    <t>N   値</t>
  </si>
  <si>
    <t>(3～50)</t>
    <phoneticPr fontId="2"/>
  </si>
  <si>
    <t>L9</t>
  </si>
  <si>
    <t>Ff</t>
    <phoneticPr fontId="2"/>
  </si>
  <si>
    <t xml:space="preserve"> 礫率50％以下で礫径は呼び径の30％以下</t>
    <phoneticPr fontId="2"/>
  </si>
  <si>
    <t>粘着力</t>
  </si>
  <si>
    <t>排泥流量</t>
    <rPh sb="0" eb="1">
      <t>ハイ</t>
    </rPh>
    <rPh sb="1" eb="2">
      <t>ドロ</t>
    </rPh>
    <rPh sb="2" eb="4">
      <t>リュウリョウ</t>
    </rPh>
    <phoneticPr fontId="2"/>
  </si>
  <si>
    <t>L10</t>
  </si>
  <si>
    <t>4-C-Ⅱ</t>
    <phoneticPr fontId="2"/>
  </si>
  <si>
    <t xml:space="preserve"> 70％以下</t>
    <rPh sb="4" eb="6">
      <t>イカ</t>
    </rPh>
    <phoneticPr fontId="2"/>
  </si>
  <si>
    <t>φ350～φ500に適用</t>
    <rPh sb="10" eb="11">
      <t>テキ</t>
    </rPh>
    <rPh sb="11" eb="12">
      <t>ヨウ</t>
    </rPh>
    <phoneticPr fontId="2"/>
  </si>
  <si>
    <t>含水比</t>
  </si>
  <si>
    <t>％</t>
  </si>
  <si>
    <t>送泥比重</t>
    <rPh sb="0" eb="1">
      <t>ソウ</t>
    </rPh>
    <rPh sb="1" eb="2">
      <t>ドロ</t>
    </rPh>
    <rPh sb="2" eb="4">
      <t>ヒジュウ</t>
    </rPh>
    <phoneticPr fontId="2"/>
  </si>
  <si>
    <t>L11</t>
    <phoneticPr fontId="2"/>
  </si>
  <si>
    <t xml:space="preserve"> 呼び径の50％程度</t>
    <rPh sb="1" eb="2">
      <t>ヨ</t>
    </rPh>
    <rPh sb="3" eb="4">
      <t>ケイ</t>
    </rPh>
    <rPh sb="8" eb="10">
      <t>テイド</t>
    </rPh>
    <phoneticPr fontId="2"/>
  </si>
  <si>
    <t>礫   分</t>
  </si>
  <si>
    <t>シルト粘土</t>
    <phoneticPr fontId="2"/>
  </si>
  <si>
    <t>L12</t>
    <phoneticPr fontId="2"/>
  </si>
  <si>
    <t>硬質土</t>
    <rPh sb="0" eb="1">
      <t>コウ</t>
    </rPh>
    <rPh sb="1" eb="2">
      <t>シツ</t>
    </rPh>
    <rPh sb="2" eb="3">
      <t>ド</t>
    </rPh>
    <phoneticPr fontId="2"/>
  </si>
  <si>
    <t>N＞30　、粘性土、固結土</t>
    <rPh sb="6" eb="8">
      <t>ネンセイ</t>
    </rPh>
    <rPh sb="8" eb="9">
      <t>ド</t>
    </rPh>
    <rPh sb="10" eb="11">
      <t>コ</t>
    </rPh>
    <rPh sb="11" eb="12">
      <t>ケツ</t>
    </rPh>
    <rPh sb="12" eb="13">
      <t>ド</t>
    </rPh>
    <phoneticPr fontId="2"/>
  </si>
  <si>
    <t>砂   分</t>
  </si>
  <si>
    <t>配管径</t>
    <rPh sb="0" eb="2">
      <t>ハイカン</t>
    </rPh>
    <rPh sb="2" eb="3">
      <t>ケイ</t>
    </rPh>
    <phoneticPr fontId="2"/>
  </si>
  <si>
    <t>【50，80、100】A</t>
    <phoneticPr fontId="2"/>
  </si>
  <si>
    <t>L13</t>
    <phoneticPr fontId="2"/>
  </si>
  <si>
    <t>F</t>
    <phoneticPr fontId="2"/>
  </si>
  <si>
    <t>岩盤</t>
    <rPh sb="0" eb="2">
      <t>ガンバン</t>
    </rPh>
    <phoneticPr fontId="2"/>
  </si>
  <si>
    <r>
      <t xml:space="preserve">    SｉO</t>
    </r>
    <r>
      <rPr>
        <vertAlign val="subscript"/>
        <sz val="11"/>
        <rFont val="ＭＳ Ｐ明朝"/>
        <family val="1"/>
        <charset val="128"/>
      </rPr>
      <t>2</t>
    </r>
    <r>
      <rPr>
        <sz val="11"/>
        <rFont val="ＭＳ Ｐ明朝"/>
        <family val="1"/>
        <charset val="128"/>
      </rPr>
      <t>の含有率　70％以下</t>
    </r>
    <rPh sb="9" eb="11">
      <t>ガンユウ</t>
    </rPh>
    <rPh sb="11" eb="12">
      <t>リツ</t>
    </rPh>
    <rPh sb="16" eb="18">
      <t>イカ</t>
    </rPh>
    <phoneticPr fontId="2"/>
  </si>
  <si>
    <t>【1:砂 2：礫 3：粘土 4：シルト】</t>
    <rPh sb="3" eb="4">
      <t>スナ</t>
    </rPh>
    <rPh sb="7" eb="8">
      <t>レキ</t>
    </rPh>
    <rPh sb="11" eb="13">
      <t>ネンド</t>
    </rPh>
    <phoneticPr fontId="2"/>
  </si>
  <si>
    <t>L14</t>
    <phoneticPr fontId="2"/>
  </si>
  <si>
    <t xml:space="preserve">    岩盤の一軸圧縮強度 ～10MPa</t>
    <rPh sb="4" eb="6">
      <t>ガンバン</t>
    </rPh>
    <rPh sb="7" eb="8">
      <t>イチ</t>
    </rPh>
    <rPh sb="8" eb="9">
      <t>ジク</t>
    </rPh>
    <rPh sb="9" eb="11">
      <t>アッシュク</t>
    </rPh>
    <rPh sb="11" eb="13">
      <t>キョウド</t>
    </rPh>
    <phoneticPr fontId="2"/>
  </si>
  <si>
    <t xml:space="preserve"> F-a　φ250～φ500</t>
    <phoneticPr fontId="2"/>
  </si>
  <si>
    <t>推進管耐荷力</t>
    <rPh sb="0" eb="2">
      <t>スイシン</t>
    </rPh>
    <rPh sb="2" eb="3">
      <t>カン</t>
    </rPh>
    <rPh sb="3" eb="6">
      <t>タイカリョク</t>
    </rPh>
    <phoneticPr fontId="2"/>
  </si>
  <si>
    <t>【1：Ⅰ種500、2：Ⅰ種700】</t>
    <rPh sb="4" eb="5">
      <t>シュ</t>
    </rPh>
    <rPh sb="12" eb="13">
      <t>シュ</t>
    </rPh>
    <phoneticPr fontId="2"/>
  </si>
  <si>
    <t>L15</t>
    <phoneticPr fontId="2"/>
  </si>
  <si>
    <t xml:space="preserve">    岩盤の一軸圧縮強度 10～40MPa</t>
    <rPh sb="4" eb="6">
      <t>ガンバン</t>
    </rPh>
    <rPh sb="7" eb="8">
      <t>イチ</t>
    </rPh>
    <rPh sb="8" eb="9">
      <t>ジク</t>
    </rPh>
    <rPh sb="9" eb="11">
      <t>アッシュク</t>
    </rPh>
    <rPh sb="11" eb="13">
      <t>キョウド</t>
    </rPh>
    <phoneticPr fontId="2"/>
  </si>
  <si>
    <t xml:space="preserve"> F-b　φ350～φ500に適用</t>
    <rPh sb="15" eb="16">
      <t>テキ</t>
    </rPh>
    <rPh sb="16" eb="17">
      <t>ヨウ</t>
    </rPh>
    <phoneticPr fontId="2"/>
  </si>
  <si>
    <t>推進管種類</t>
    <rPh sb="0" eb="2">
      <t>スイシン</t>
    </rPh>
    <rPh sb="2" eb="3">
      <t>カン</t>
    </rPh>
    <rPh sb="3" eb="4">
      <t>シュ</t>
    </rPh>
    <rPh sb="4" eb="5">
      <t>ルイ</t>
    </rPh>
    <phoneticPr fontId="2"/>
  </si>
  <si>
    <t>計</t>
    <rPh sb="0" eb="1">
      <t>ケイ</t>
    </rPh>
    <phoneticPr fontId="2"/>
  </si>
  <si>
    <t>運転日</t>
    <rPh sb="0" eb="3">
      <t>ウンテンビ</t>
    </rPh>
    <phoneticPr fontId="2"/>
  </si>
  <si>
    <t>日</t>
    <rPh sb="0" eb="1">
      <t>ニチ</t>
    </rPh>
    <phoneticPr fontId="2"/>
  </si>
  <si>
    <t>掘進機損料</t>
    <phoneticPr fontId="2"/>
  </si>
  <si>
    <t>（円）</t>
  </si>
  <si>
    <t>ビット費</t>
  </si>
  <si>
    <t>円</t>
  </si>
  <si>
    <t>注① ・・・次の土質条件などでは補助工法を必要とします。</t>
    <phoneticPr fontId="2"/>
  </si>
  <si>
    <t>立坑形状</t>
    <rPh sb="0" eb="1">
      <t>タテ</t>
    </rPh>
    <rPh sb="1" eb="2">
      <t>コウ</t>
    </rPh>
    <rPh sb="2" eb="4">
      <t>ケイジョウ</t>
    </rPh>
    <phoneticPr fontId="2"/>
  </si>
  <si>
    <t>【1.矢板Ⅱ2.矢板Ⅲ3.ライナ4.小立坑】</t>
    <rPh sb="18" eb="19">
      <t>ショウ</t>
    </rPh>
    <rPh sb="19" eb="21">
      <t>タテコウ</t>
    </rPh>
    <phoneticPr fontId="2"/>
  </si>
  <si>
    <t>付帯供用日</t>
    <rPh sb="0" eb="2">
      <t>フタイ</t>
    </rPh>
    <rPh sb="2" eb="4">
      <t>キョウヨウ</t>
    </rPh>
    <rPh sb="4" eb="5">
      <t>ビ</t>
    </rPh>
    <phoneticPr fontId="2"/>
  </si>
  <si>
    <t>日</t>
    <rPh sb="0" eb="1">
      <t>ヒ</t>
    </rPh>
    <phoneticPr fontId="2"/>
  </si>
  <si>
    <t>掘進機供用日</t>
    <rPh sb="0" eb="3">
      <t>クッシンキ</t>
    </rPh>
    <rPh sb="3" eb="5">
      <t>キョウヨウ</t>
    </rPh>
    <rPh sb="5" eb="6">
      <t>ビ</t>
    </rPh>
    <phoneticPr fontId="2"/>
  </si>
  <si>
    <t>&lt;備考&gt;</t>
    <rPh sb="1" eb="3">
      <t>ビコウ</t>
    </rPh>
    <phoneticPr fontId="2"/>
  </si>
  <si>
    <t>（イ） Ｎ値が3以下の軟弱層で方向修正のための地盤反力が不足する場合。</t>
    <phoneticPr fontId="2"/>
  </si>
  <si>
    <t>P1ポンプ</t>
    <phoneticPr fontId="2"/>
  </si>
  <si>
    <t>工事費(円)</t>
    <rPh sb="0" eb="3">
      <t>コウジヒ</t>
    </rPh>
    <rPh sb="4" eb="5">
      <t>エン</t>
    </rPh>
    <phoneticPr fontId="2"/>
  </si>
  <si>
    <t>検算用チェック項目</t>
    <rPh sb="0" eb="2">
      <t>ケンザン</t>
    </rPh>
    <rPh sb="2" eb="3">
      <t>ヨウ</t>
    </rPh>
    <rPh sb="7" eb="9">
      <t>コウモク</t>
    </rPh>
    <phoneticPr fontId="2"/>
  </si>
  <si>
    <t>（ロ） 透水性が高く、切羽の安定を保てない場合。</t>
    <rPh sb="8" eb="9">
      <t>タカ</t>
    </rPh>
    <phoneticPr fontId="2"/>
  </si>
  <si>
    <t>P2ポンプ</t>
    <phoneticPr fontId="2"/>
  </si>
  <si>
    <t>スパン数</t>
    <rPh sb="3" eb="4">
      <t>スウ</t>
    </rPh>
    <phoneticPr fontId="2"/>
  </si>
  <si>
    <t>区</t>
    <rPh sb="0" eb="1">
      <t>ク</t>
    </rPh>
    <phoneticPr fontId="2"/>
  </si>
  <si>
    <t>（ハ） 岩と普通土・砂礫との層境で方向精度を保てない場合。</t>
    <rPh sb="14" eb="15">
      <t>ソウ</t>
    </rPh>
    <rPh sb="15" eb="16">
      <t>ザカイ</t>
    </rPh>
    <phoneticPr fontId="2"/>
  </si>
  <si>
    <t>地上中継ポンプ</t>
    <rPh sb="0" eb="2">
      <t>チジョウ</t>
    </rPh>
    <rPh sb="2" eb="4">
      <t>チュウケイ</t>
    </rPh>
    <phoneticPr fontId="2"/>
  </si>
  <si>
    <t>ｍ単価（円）</t>
    <rPh sb="4" eb="5">
      <t>エン</t>
    </rPh>
    <phoneticPr fontId="2"/>
  </si>
  <si>
    <t>発進立坑数</t>
    <rPh sb="0" eb="2">
      <t>ハッシン</t>
    </rPh>
    <rPh sb="2" eb="3">
      <t>タテ</t>
    </rPh>
    <rPh sb="3" eb="4">
      <t>コウ</t>
    </rPh>
    <rPh sb="4" eb="5">
      <t>スウ</t>
    </rPh>
    <phoneticPr fontId="2"/>
  </si>
  <si>
    <t>個</t>
    <rPh sb="0" eb="1">
      <t>コ</t>
    </rPh>
    <phoneticPr fontId="2"/>
  </si>
  <si>
    <t>（ニ） 巨礫層で、礫破砕のための地盤反力が得られない場合。</t>
    <phoneticPr fontId="2"/>
  </si>
  <si>
    <t>　　〃</t>
    <phoneticPr fontId="2"/>
  </si>
  <si>
    <t>台</t>
    <rPh sb="0" eb="1">
      <t>ダイ</t>
    </rPh>
    <phoneticPr fontId="2"/>
  </si>
  <si>
    <t>ﾊﾞｷｭｳｰﾑ車</t>
    <rPh sb="7" eb="8">
      <t>シャ</t>
    </rPh>
    <phoneticPr fontId="2"/>
  </si>
  <si>
    <t>【3.1,8】</t>
    <phoneticPr fontId="2"/>
  </si>
  <si>
    <t>分割回収回数</t>
    <rPh sb="0" eb="2">
      <t>ブンカツ</t>
    </rPh>
    <rPh sb="2" eb="4">
      <t>カイシュウ</t>
    </rPh>
    <rPh sb="4" eb="6">
      <t>カイスウ</t>
    </rPh>
    <phoneticPr fontId="2"/>
  </si>
  <si>
    <t>回</t>
    <rPh sb="0" eb="1">
      <t>カイ</t>
    </rPh>
    <phoneticPr fontId="2"/>
  </si>
  <si>
    <t>注②……岩盤推進工事に当たっては次の事項を綿密に調査して下さい。</t>
    <phoneticPr fontId="2"/>
  </si>
  <si>
    <t>残土処分費</t>
  </si>
  <si>
    <t>ダンプトラック</t>
    <phoneticPr fontId="2"/>
  </si>
  <si>
    <t>【2，4】</t>
    <phoneticPr fontId="2"/>
  </si>
  <si>
    <r>
      <t>平均</t>
    </r>
    <r>
      <rPr>
        <sz val="11"/>
        <color indexed="8"/>
        <rFont val="ＭＳ Ｐゴシック"/>
        <family val="3"/>
        <charset val="128"/>
      </rPr>
      <t>日進量</t>
    </r>
    <rPh sb="0" eb="2">
      <t>ヘイキン</t>
    </rPh>
    <rPh sb="2" eb="4">
      <t>ニッシン</t>
    </rPh>
    <rPh sb="4" eb="5">
      <t>リョウ</t>
    </rPh>
    <phoneticPr fontId="2"/>
  </si>
  <si>
    <t>一体回収回数</t>
    <rPh sb="0" eb="2">
      <t>イッタイ</t>
    </rPh>
    <rPh sb="2" eb="4">
      <t>カイシュウ</t>
    </rPh>
    <rPh sb="4" eb="6">
      <t>カイスウ</t>
    </rPh>
    <phoneticPr fontId="2"/>
  </si>
  <si>
    <t xml:space="preserve">                     　（イ）岩盤の種類　　　　（ロ）一軸圧縮強度　　　　（ハ）石英の含有率　　　　（ニ）RQD値</t>
    <phoneticPr fontId="2"/>
  </si>
  <si>
    <t>泥水処分費</t>
  </si>
  <si>
    <t>試運転・立会</t>
    <rPh sb="0" eb="3">
      <t>シウンテン</t>
    </rPh>
    <rPh sb="4" eb="6">
      <t>タチア</t>
    </rPh>
    <phoneticPr fontId="2"/>
  </si>
  <si>
    <t>【無0・有1】</t>
    <rPh sb="1" eb="2">
      <t>ナ</t>
    </rPh>
    <phoneticPr fontId="2"/>
  </si>
  <si>
    <t>m/日</t>
    <rPh sb="2" eb="3">
      <t>ヒ</t>
    </rPh>
    <phoneticPr fontId="2"/>
  </si>
  <si>
    <t>推力計算</t>
    <rPh sb="0" eb="2">
      <t>スイリョク</t>
    </rPh>
    <rPh sb="2" eb="4">
      <t>ケイサン</t>
    </rPh>
    <phoneticPr fontId="2"/>
  </si>
  <si>
    <t>先頭管材費</t>
    <rPh sb="0" eb="2">
      <t>セントウ</t>
    </rPh>
    <rPh sb="2" eb="3">
      <t>カン</t>
    </rPh>
    <rPh sb="3" eb="4">
      <t>ザイ</t>
    </rPh>
    <rPh sb="4" eb="5">
      <t>ヒヨウ</t>
    </rPh>
    <phoneticPr fontId="2"/>
  </si>
  <si>
    <t>退避金物</t>
    <rPh sb="0" eb="2">
      <t>タイヒ</t>
    </rPh>
    <rPh sb="2" eb="4">
      <t>カナモノ</t>
    </rPh>
    <phoneticPr fontId="2"/>
  </si>
  <si>
    <t>ビット補修</t>
    <rPh sb="3" eb="5">
      <t>ホシュウ</t>
    </rPh>
    <phoneticPr fontId="2"/>
  </si>
  <si>
    <t>回</t>
  </si>
  <si>
    <t>立坑～プラント/立坑～水槽</t>
    <rPh sb="0" eb="1">
      <t>タテ</t>
    </rPh>
    <rPh sb="1" eb="2">
      <t>コウ</t>
    </rPh>
    <rPh sb="8" eb="10">
      <t>タテコウ</t>
    </rPh>
    <rPh sb="11" eb="13">
      <t>スイソウ</t>
    </rPh>
    <phoneticPr fontId="2"/>
  </si>
  <si>
    <t>プラントまでの距離</t>
    <rPh sb="7" eb="9">
      <t>キョリ</t>
    </rPh>
    <phoneticPr fontId="2"/>
  </si>
  <si>
    <t>標準管材費</t>
    <rPh sb="0" eb="2">
      <t>ヒョウジュン</t>
    </rPh>
    <rPh sb="2" eb="3">
      <t>カン</t>
    </rPh>
    <rPh sb="3" eb="4">
      <t>ザイ</t>
    </rPh>
    <rPh sb="4" eb="5">
      <t>ヒヨウ</t>
    </rPh>
    <phoneticPr fontId="2"/>
  </si>
  <si>
    <t>　　運搬距離</t>
    <rPh sb="2" eb="4">
      <t>ウンパン</t>
    </rPh>
    <rPh sb="4" eb="6">
      <t>キョリ</t>
    </rPh>
    <phoneticPr fontId="2"/>
  </si>
  <si>
    <t>km</t>
    <phoneticPr fontId="2"/>
  </si>
  <si>
    <t>（下表の摩耗距離を超える場合に計上する）</t>
    <rPh sb="1" eb="3">
      <t>カヒョウ</t>
    </rPh>
    <rPh sb="4" eb="6">
      <t>マモウ</t>
    </rPh>
    <rPh sb="6" eb="8">
      <t>キョリ</t>
    </rPh>
    <rPh sb="9" eb="10">
      <t>コ</t>
    </rPh>
    <rPh sb="12" eb="14">
      <t>バアイ</t>
    </rPh>
    <rPh sb="15" eb="17">
      <t>ケイジョウ</t>
    </rPh>
    <phoneticPr fontId="2"/>
  </si>
  <si>
    <t>改造費（１式）</t>
  </si>
  <si>
    <t xml:space="preserve">   処理機</t>
    <rPh sb="3" eb="6">
      <t>ショリキ</t>
    </rPh>
    <phoneticPr fontId="2"/>
  </si>
  <si>
    <t>磨耗距離</t>
    <rPh sb="0" eb="2">
      <t>マモウ</t>
    </rPh>
    <rPh sb="2" eb="4">
      <t>キョリ</t>
    </rPh>
    <phoneticPr fontId="2"/>
  </si>
  <si>
    <t>A</t>
    <phoneticPr fontId="2"/>
  </si>
  <si>
    <t>B</t>
    <phoneticPr fontId="2"/>
  </si>
  <si>
    <t>C1</t>
    <phoneticPr fontId="2"/>
  </si>
  <si>
    <t>【１：０.５型，２：１型，３：２型】</t>
    <rPh sb="6" eb="7">
      <t>カタ</t>
    </rPh>
    <rPh sb="11" eb="12">
      <t>カタ</t>
    </rPh>
    <phoneticPr fontId="2"/>
  </si>
  <si>
    <t>～φ300</t>
    <phoneticPr fontId="2"/>
  </si>
  <si>
    <t>～φ500</t>
    <phoneticPr fontId="2"/>
  </si>
  <si>
    <t>係数α</t>
    <rPh sb="0" eb="2">
      <t>ケイスウ</t>
    </rPh>
    <phoneticPr fontId="2"/>
  </si>
  <si>
    <t>(1.1～1.5）</t>
    <phoneticPr fontId="2"/>
  </si>
  <si>
    <t>～φ700</t>
    <phoneticPr fontId="2"/>
  </si>
  <si>
    <t>施工地域</t>
    <rPh sb="0" eb="2">
      <t>セコウ</t>
    </rPh>
    <rPh sb="2" eb="4">
      <t>チイキ</t>
    </rPh>
    <phoneticPr fontId="2"/>
  </si>
  <si>
    <t>→</t>
    <phoneticPr fontId="2"/>
  </si>
  <si>
    <r>
      <t>1.</t>
    </r>
    <r>
      <rPr>
        <sz val="9"/>
        <rFont val="ＭＳ Ｐゴシック"/>
        <family val="3"/>
        <charset val="128"/>
      </rPr>
      <t>北海道</t>
    </r>
    <r>
      <rPr>
        <sz val="10"/>
        <rFont val="ＭＳ Ｐゴシック"/>
        <family val="3"/>
        <charset val="128"/>
      </rPr>
      <t>、2.青森、3.岩手、4.宮城、5.秋田、6.山形、7.福島、8.茨城、9.栃木、10.群馬、11.埼玉、12.千葉、13.東京、14.</t>
    </r>
    <r>
      <rPr>
        <sz val="9"/>
        <rFont val="ＭＳ Ｐゴシック"/>
        <family val="3"/>
        <charset val="128"/>
      </rPr>
      <t>神奈川</t>
    </r>
    <r>
      <rPr>
        <sz val="10"/>
        <rFont val="ＭＳ Ｐゴシック"/>
        <family val="3"/>
        <charset val="128"/>
      </rPr>
      <t>、15.山梨、16.長野、</t>
    </r>
    <rPh sb="2" eb="5">
      <t>ホッカイドウ</t>
    </rPh>
    <rPh sb="8" eb="10">
      <t>アオモリ</t>
    </rPh>
    <rPh sb="61" eb="63">
      <t>チバ</t>
    </rPh>
    <rPh sb="67" eb="69">
      <t>トウキョウ</t>
    </rPh>
    <rPh sb="73" eb="76">
      <t>カナガワ</t>
    </rPh>
    <phoneticPr fontId="2"/>
  </si>
  <si>
    <t>攪拌槽（m3）</t>
    <rPh sb="0" eb="2">
      <t>カクハン</t>
    </rPh>
    <rPh sb="2" eb="3">
      <t>ソウ</t>
    </rPh>
    <phoneticPr fontId="2"/>
  </si>
  <si>
    <r>
      <t>17.新潟、18.富山、19.石川、20.岐阜、21.静岡、22.愛知、23.三重、24.福井、25.滋賀、26.京都、27.大阪、28.兵庫、29.奈良、30.</t>
    </r>
    <r>
      <rPr>
        <sz val="9"/>
        <rFont val="ＭＳ Ｐゴシック"/>
        <family val="3"/>
        <charset val="128"/>
      </rPr>
      <t>和歌山</t>
    </r>
    <r>
      <rPr>
        <sz val="10"/>
        <rFont val="ＭＳ Ｐゴシック"/>
        <family val="3"/>
        <charset val="128"/>
      </rPr>
      <t>、31.鳥取、</t>
    </r>
    <rPh sb="3" eb="5">
      <t>ニイガタ</t>
    </rPh>
    <rPh sb="9" eb="11">
      <t>トヤマ</t>
    </rPh>
    <rPh sb="15" eb="17">
      <t>イシカワ</t>
    </rPh>
    <rPh sb="21" eb="23">
      <t>ギフ</t>
    </rPh>
    <rPh sb="27" eb="29">
      <t>シズオカ</t>
    </rPh>
    <rPh sb="33" eb="35">
      <t>アイチ</t>
    </rPh>
    <rPh sb="39" eb="41">
      <t>ミエ</t>
    </rPh>
    <rPh sb="45" eb="47">
      <t>フクイ</t>
    </rPh>
    <rPh sb="51" eb="53">
      <t>シガ</t>
    </rPh>
    <rPh sb="57" eb="59">
      <t>キョウト</t>
    </rPh>
    <rPh sb="63" eb="65">
      <t>オオサカ</t>
    </rPh>
    <rPh sb="69" eb="71">
      <t>ヒョウゴ</t>
    </rPh>
    <phoneticPr fontId="2"/>
  </si>
  <si>
    <t>清水槽（m3）</t>
    <rPh sb="0" eb="2">
      <t>セイスイ</t>
    </rPh>
    <rPh sb="2" eb="3">
      <t>ソウ</t>
    </rPh>
    <phoneticPr fontId="2"/>
  </si>
  <si>
    <r>
      <t>32.島根、33.岡山、34.広島、35.山口、36.徳島、37.香川、38.愛媛、39.高知、40.福岡、41.佐賀、42.長崎、43.熊本、44.大分、45.宮崎、46.</t>
    </r>
    <r>
      <rPr>
        <sz val="9"/>
        <rFont val="ＭＳ Ｐゴシック"/>
        <family val="3"/>
        <charset val="128"/>
      </rPr>
      <t>鹿児島、</t>
    </r>
    <r>
      <rPr>
        <sz val="10"/>
        <rFont val="ＭＳ Ｐゴシック"/>
        <family val="3"/>
        <charset val="128"/>
      </rPr>
      <t>47.沖縄</t>
    </r>
    <rPh sb="3" eb="5">
      <t>シマネ</t>
    </rPh>
    <rPh sb="9" eb="11">
      <t>オカヤマ</t>
    </rPh>
    <rPh sb="15" eb="17">
      <t>ヒロシマ</t>
    </rPh>
    <rPh sb="21" eb="23">
      <t>ヤマグチ</t>
    </rPh>
    <rPh sb="27" eb="29">
      <t>トクシマ</t>
    </rPh>
    <rPh sb="33" eb="35">
      <t>カガワ</t>
    </rPh>
    <rPh sb="39" eb="41">
      <t>エヒメ</t>
    </rPh>
    <rPh sb="45" eb="47">
      <t>コウチ</t>
    </rPh>
    <rPh sb="51" eb="53">
      <t>フクオカ</t>
    </rPh>
    <rPh sb="57" eb="59">
      <t>サガ</t>
    </rPh>
    <phoneticPr fontId="2"/>
  </si>
  <si>
    <t>攪拌槽は10ｍ３、清水槽は５又は10ｍ３から選択</t>
    <rPh sb="0" eb="2">
      <t>カクハン</t>
    </rPh>
    <rPh sb="2" eb="3">
      <t>ソウ</t>
    </rPh>
    <rPh sb="9" eb="11">
      <t>セイスイ</t>
    </rPh>
    <rPh sb="11" eb="12">
      <t>ソウ</t>
    </rPh>
    <rPh sb="14" eb="15">
      <t>マタ</t>
    </rPh>
    <rPh sb="22" eb="24">
      <t>センタク</t>
    </rPh>
    <phoneticPr fontId="2"/>
  </si>
  <si>
    <t>御　　見　　積　　書</t>
    <rPh sb="0" eb="1">
      <t>オン</t>
    </rPh>
    <rPh sb="3" eb="4">
      <t>ミ</t>
    </rPh>
    <rPh sb="6" eb="7">
      <t>セキ</t>
    </rPh>
    <rPh sb="9" eb="10">
      <t>ショ</t>
    </rPh>
    <phoneticPr fontId="2"/>
  </si>
  <si>
    <t>御中</t>
    <rPh sb="0" eb="2">
      <t>オンチュウ</t>
    </rPh>
    <phoneticPr fontId="2"/>
  </si>
  <si>
    <t>見積有効期間：2025年3月末日</t>
    <rPh sb="0" eb="2">
      <t>ミツモリ</t>
    </rPh>
    <rPh sb="2" eb="4">
      <t>ユウコウ</t>
    </rPh>
    <rPh sb="4" eb="6">
      <t>キカン</t>
    </rPh>
    <rPh sb="11" eb="12">
      <t>ネン</t>
    </rPh>
    <rPh sb="13" eb="15">
      <t>ガツマツ</t>
    </rPh>
    <rPh sb="14" eb="16">
      <t>マツジツ</t>
    </rPh>
    <phoneticPr fontId="2"/>
  </si>
  <si>
    <t>概算工事費（参考）</t>
    <rPh sb="0" eb="2">
      <t>ガイサン</t>
    </rPh>
    <rPh sb="2" eb="5">
      <t>コウジヒ</t>
    </rPh>
    <rPh sb="6" eb="8">
      <t>サンコウ</t>
    </rPh>
    <phoneticPr fontId="2"/>
  </si>
  <si>
    <t>小口径泥水式推進工法</t>
    <rPh sb="0" eb="1">
      <t>ショウ</t>
    </rPh>
    <rPh sb="1" eb="3">
      <t>コウケイ</t>
    </rPh>
    <rPh sb="3" eb="5">
      <t>デイスイ</t>
    </rPh>
    <rPh sb="5" eb="6">
      <t>シキ</t>
    </rPh>
    <rPh sb="6" eb="8">
      <t>スイシン</t>
    </rPh>
    <rPh sb="8" eb="10">
      <t>コウホウ</t>
    </rPh>
    <phoneticPr fontId="2"/>
  </si>
  <si>
    <t>φ</t>
    <phoneticPr fontId="2"/>
  </si>
  <si>
    <t>合計</t>
    <rPh sb="0" eb="2">
      <t>ゴウケイ</t>
    </rPh>
    <phoneticPr fontId="2"/>
  </si>
  <si>
    <t>1m当り金額</t>
  </si>
  <si>
    <t>（</t>
  </si>
  <si>
    <t>）</t>
  </si>
  <si>
    <t>＊この計算書はユニコーン協会発行の積算資料に基づき計算</t>
    <rPh sb="3" eb="5">
      <t>ケイサン</t>
    </rPh>
    <rPh sb="5" eb="6">
      <t>ショ</t>
    </rPh>
    <rPh sb="12" eb="14">
      <t>キョウカイ</t>
    </rPh>
    <rPh sb="14" eb="16">
      <t>ハッコウ</t>
    </rPh>
    <rPh sb="17" eb="19">
      <t>セキサン</t>
    </rPh>
    <rPh sb="19" eb="21">
      <t>シリョウ</t>
    </rPh>
    <rPh sb="22" eb="23">
      <t>モト</t>
    </rPh>
    <rPh sb="25" eb="27">
      <t>ケイサン</t>
    </rPh>
    <phoneticPr fontId="2"/>
  </si>
  <si>
    <t>　しております。</t>
    <phoneticPr fontId="2"/>
  </si>
  <si>
    <t>＊掘進機損料等はラサ工業㈱発行の価格表に基づいています。</t>
    <rPh sb="1" eb="3">
      <t>クッシン</t>
    </rPh>
    <rPh sb="3" eb="4">
      <t>キ</t>
    </rPh>
    <rPh sb="4" eb="6">
      <t>ソンリョウ</t>
    </rPh>
    <rPh sb="6" eb="7">
      <t>トウ</t>
    </rPh>
    <rPh sb="10" eb="12">
      <t>コウギョウ</t>
    </rPh>
    <rPh sb="13" eb="15">
      <t>ハッコウ</t>
    </rPh>
    <rPh sb="16" eb="18">
      <t>カカク</t>
    </rPh>
    <rPh sb="18" eb="19">
      <t>ヒョウ</t>
    </rPh>
    <rPh sb="20" eb="21">
      <t>モト</t>
    </rPh>
    <phoneticPr fontId="2"/>
  </si>
  <si>
    <t>＊見積書には消費税当は含まれておりません。</t>
    <rPh sb="1" eb="3">
      <t>ミツモリ</t>
    </rPh>
    <rPh sb="3" eb="4">
      <t>ショ</t>
    </rPh>
    <rPh sb="6" eb="9">
      <t>ショウヒゼイ</t>
    </rPh>
    <rPh sb="9" eb="10">
      <t>トウ</t>
    </rPh>
    <rPh sb="11" eb="12">
      <t>フク</t>
    </rPh>
    <phoneticPr fontId="2"/>
  </si>
  <si>
    <t>条件</t>
    <rPh sb="0" eb="2">
      <t>ジョウケン</t>
    </rPh>
    <phoneticPr fontId="2"/>
  </si>
  <si>
    <t>推進管</t>
    <rPh sb="0" eb="2">
      <t>スイシン</t>
    </rPh>
    <rPh sb="2" eb="3">
      <t>カン</t>
    </rPh>
    <phoneticPr fontId="2"/>
  </si>
  <si>
    <t>総推進延長</t>
    <rPh sb="0" eb="1">
      <t>ソウ</t>
    </rPh>
    <rPh sb="1" eb="3">
      <t>スイシン</t>
    </rPh>
    <rPh sb="3" eb="5">
      <t>エンチョウ</t>
    </rPh>
    <phoneticPr fontId="2"/>
  </si>
  <si>
    <t>Ｌ＝</t>
    <phoneticPr fontId="2"/>
  </si>
  <si>
    <t>スパン</t>
    <phoneticPr fontId="2"/>
  </si>
  <si>
    <t>土被り</t>
    <rPh sb="0" eb="1">
      <t>ド</t>
    </rPh>
    <rPh sb="1" eb="2">
      <t>カブ</t>
    </rPh>
    <phoneticPr fontId="2"/>
  </si>
  <si>
    <t>地下水位</t>
    <rPh sb="0" eb="2">
      <t>チカ</t>
    </rPh>
    <rPh sb="2" eb="4">
      <t>スイイ</t>
    </rPh>
    <phoneticPr fontId="2"/>
  </si>
  <si>
    <t>ＧＬ－</t>
    <phoneticPr fontId="2"/>
  </si>
  <si>
    <t>岩一軸圧縮強度</t>
    <rPh sb="0" eb="1">
      <t>ガン</t>
    </rPh>
    <rPh sb="1" eb="3">
      <t>イチジク</t>
    </rPh>
    <rPh sb="3" eb="5">
      <t>アッシュク</t>
    </rPh>
    <rPh sb="5" eb="7">
      <t>キョウド</t>
    </rPh>
    <phoneticPr fontId="2"/>
  </si>
  <si>
    <t>Mpa以下</t>
    <rPh sb="3" eb="5">
      <t>イカ</t>
    </rPh>
    <phoneticPr fontId="2"/>
  </si>
  <si>
    <t>礫</t>
    <rPh sb="0" eb="1">
      <t>レキ</t>
    </rPh>
    <phoneticPr fontId="2"/>
  </si>
  <si>
    <t>％</t>
    <phoneticPr fontId="2"/>
  </si>
  <si>
    <t>砂</t>
    <rPh sb="0" eb="1">
      <t>スナ</t>
    </rPh>
    <phoneticPr fontId="2"/>
  </si>
  <si>
    <t>シルト・粘土</t>
    <rPh sb="4" eb="5">
      <t>ネン</t>
    </rPh>
    <rPh sb="5" eb="6">
      <t>ド</t>
    </rPh>
    <phoneticPr fontId="2"/>
  </si>
  <si>
    <t>含水比</t>
    <rPh sb="0" eb="2">
      <t>ガンスイ</t>
    </rPh>
    <rPh sb="2" eb="3">
      <t>ヒ</t>
    </rPh>
    <phoneticPr fontId="2"/>
  </si>
  <si>
    <t>平均日進量</t>
    <rPh sb="0" eb="2">
      <t>ヘイキン</t>
    </rPh>
    <rPh sb="2" eb="4">
      <t>ニッシン</t>
    </rPh>
    <rPh sb="4" eb="5">
      <t>リョウ</t>
    </rPh>
    <phoneticPr fontId="2"/>
  </si>
  <si>
    <t>m／日</t>
    <rPh sb="2" eb="3">
      <t>ヒ</t>
    </rPh>
    <phoneticPr fontId="2"/>
  </si>
  <si>
    <t>＊総推進延長を下記運転日で割ったものを平均日進量としています。</t>
    <rPh sb="1" eb="2">
      <t>ソウ</t>
    </rPh>
    <rPh sb="2" eb="4">
      <t>スイシン</t>
    </rPh>
    <rPh sb="4" eb="6">
      <t>エンチョウ</t>
    </rPh>
    <rPh sb="7" eb="9">
      <t>カキ</t>
    </rPh>
    <rPh sb="9" eb="12">
      <t>ウンテンビ</t>
    </rPh>
    <rPh sb="13" eb="14">
      <t>ワ</t>
    </rPh>
    <rPh sb="19" eb="21">
      <t>ヘイキン</t>
    </rPh>
    <rPh sb="21" eb="23">
      <t>ニッシン</t>
    </rPh>
    <rPh sb="23" eb="24">
      <t>リョウ</t>
    </rPh>
    <phoneticPr fontId="2"/>
  </si>
  <si>
    <t>＊運転日は推進延長を日進量で割り小数点以下を切り上げてます。</t>
    <rPh sb="1" eb="4">
      <t>ウンテンビ</t>
    </rPh>
    <rPh sb="5" eb="7">
      <t>スイシン</t>
    </rPh>
    <rPh sb="7" eb="9">
      <t>エンチョウ</t>
    </rPh>
    <rPh sb="10" eb="12">
      <t>ニッシン</t>
    </rPh>
    <rPh sb="12" eb="13">
      <t>リョウ</t>
    </rPh>
    <rPh sb="14" eb="15">
      <t>ワ</t>
    </rPh>
    <rPh sb="16" eb="19">
      <t>ショウスウテン</t>
    </rPh>
    <rPh sb="19" eb="21">
      <t>イカ</t>
    </rPh>
    <rPh sb="22" eb="23">
      <t>キ</t>
    </rPh>
    <rPh sb="24" eb="25">
      <t>ア</t>
    </rPh>
    <phoneticPr fontId="2"/>
  </si>
  <si>
    <t>地区</t>
    <rPh sb="0" eb="2">
      <t>チク</t>
    </rPh>
    <phoneticPr fontId="2"/>
  </si>
  <si>
    <t>(昼間8時間)</t>
    <rPh sb="1" eb="3">
      <t>ヒルマ</t>
    </rPh>
    <rPh sb="4" eb="6">
      <t>ジカン</t>
    </rPh>
    <phoneticPr fontId="2"/>
  </si>
  <si>
    <t>不稼働係数</t>
    <rPh sb="0" eb="1">
      <t>フ</t>
    </rPh>
    <rPh sb="1" eb="3">
      <t>カドウ</t>
    </rPh>
    <rPh sb="3" eb="5">
      <t>ケイスウ</t>
    </rPh>
    <phoneticPr fontId="2"/>
  </si>
  <si>
    <t>見積条件</t>
    <rPh sb="0" eb="2">
      <t>ミツモリ</t>
    </rPh>
    <rPh sb="2" eb="4">
      <t>ジョウケン</t>
    </rPh>
    <phoneticPr fontId="2"/>
  </si>
  <si>
    <t>　・残土及び泥水の処分量は想定数量とします。</t>
    <rPh sb="2" eb="4">
      <t>ザンド</t>
    </rPh>
    <rPh sb="4" eb="5">
      <t>オヨ</t>
    </rPh>
    <rPh sb="6" eb="8">
      <t>デイスイ</t>
    </rPh>
    <rPh sb="9" eb="11">
      <t>ショブン</t>
    </rPh>
    <rPh sb="11" eb="12">
      <t>リョウ</t>
    </rPh>
    <rPh sb="13" eb="15">
      <t>ソウテイ</t>
    </rPh>
    <rPh sb="15" eb="17">
      <t>スウリョウ</t>
    </rPh>
    <phoneticPr fontId="2"/>
  </si>
  <si>
    <t>　　尚、処分費(運搬費含む)は別途ご考慮下さい。</t>
    <rPh sb="2" eb="3">
      <t>ナオ</t>
    </rPh>
    <rPh sb="4" eb="6">
      <t>ショブン</t>
    </rPh>
    <rPh sb="6" eb="7">
      <t>ヒ</t>
    </rPh>
    <rPh sb="8" eb="10">
      <t>ウンパン</t>
    </rPh>
    <rPh sb="10" eb="11">
      <t>ヒ</t>
    </rPh>
    <rPh sb="11" eb="12">
      <t>フク</t>
    </rPh>
    <rPh sb="15" eb="17">
      <t>ベット</t>
    </rPh>
    <rPh sb="18" eb="20">
      <t>コウリョ</t>
    </rPh>
    <rPh sb="20" eb="21">
      <t>クダ</t>
    </rPh>
    <phoneticPr fontId="2"/>
  </si>
  <si>
    <t>　・管材費は別途ご考慮下さい。</t>
    <rPh sb="2" eb="3">
      <t>カン</t>
    </rPh>
    <rPh sb="3" eb="4">
      <t>ザイ</t>
    </rPh>
    <rPh sb="4" eb="5">
      <t>ヒ</t>
    </rPh>
    <rPh sb="6" eb="8">
      <t>ベット</t>
    </rPh>
    <rPh sb="9" eb="11">
      <t>コウリョ</t>
    </rPh>
    <rPh sb="11" eb="12">
      <t>クダ</t>
    </rPh>
    <phoneticPr fontId="2"/>
  </si>
  <si>
    <t>　・泥水処理プラントは定置式とします。車上プラントの場合は別途ご考慮下さい。</t>
    <rPh sb="2" eb="4">
      <t>デイスイ</t>
    </rPh>
    <rPh sb="4" eb="6">
      <t>ショリ</t>
    </rPh>
    <rPh sb="11" eb="13">
      <t>テイチ</t>
    </rPh>
    <rPh sb="13" eb="14">
      <t>シキ</t>
    </rPh>
    <rPh sb="19" eb="21">
      <t>シャジョウ</t>
    </rPh>
    <rPh sb="26" eb="28">
      <t>バアイ</t>
    </rPh>
    <rPh sb="29" eb="31">
      <t>ベット</t>
    </rPh>
    <rPh sb="32" eb="34">
      <t>コウリョ</t>
    </rPh>
    <rPh sb="34" eb="35">
      <t>クダ</t>
    </rPh>
    <phoneticPr fontId="2"/>
  </si>
  <si>
    <t>Ａ－１泥水式推進工法　（呼び径：　　　　　）</t>
    <rPh sb="3" eb="5">
      <t>デイスイ</t>
    </rPh>
    <rPh sb="5" eb="6">
      <t>シキ</t>
    </rPh>
    <rPh sb="6" eb="8">
      <t>スイシン</t>
    </rPh>
    <rPh sb="8" eb="10">
      <t>コウホウ</t>
    </rPh>
    <rPh sb="12" eb="13">
      <t>ヨ</t>
    </rPh>
    <rPh sb="14" eb="15">
      <t>ケイ</t>
    </rPh>
    <phoneticPr fontId="2"/>
  </si>
  <si>
    <t>)</t>
    <phoneticPr fontId="2"/>
  </si>
  <si>
    <t>（１式）</t>
    <rPh sb="2" eb="3">
      <t>シキ</t>
    </rPh>
    <phoneticPr fontId="2"/>
  </si>
  <si>
    <t>　　　　種　　　　目</t>
    <rPh sb="4" eb="5">
      <t>シュ</t>
    </rPh>
    <rPh sb="9" eb="10">
      <t>メ</t>
    </rPh>
    <phoneticPr fontId="2"/>
  </si>
  <si>
    <t>形状寸法</t>
    <rPh sb="0" eb="2">
      <t>ケイジョウ</t>
    </rPh>
    <rPh sb="2" eb="4">
      <t>スンポウ</t>
    </rPh>
    <phoneticPr fontId="2"/>
  </si>
  <si>
    <t>単位</t>
    <rPh sb="0" eb="2">
      <t>タンイ</t>
    </rPh>
    <phoneticPr fontId="2"/>
  </si>
  <si>
    <t>数量</t>
    <rPh sb="0" eb="2">
      <t>スウリョウ</t>
    </rPh>
    <phoneticPr fontId="2"/>
  </si>
  <si>
    <t>　　単価　　（円）</t>
    <rPh sb="2" eb="4">
      <t>タンカ</t>
    </rPh>
    <rPh sb="7" eb="8">
      <t>エン</t>
    </rPh>
    <phoneticPr fontId="2"/>
  </si>
  <si>
    <t>　　　　金額　　　（円）</t>
    <rPh sb="4" eb="6">
      <t>キンガク</t>
    </rPh>
    <rPh sb="10" eb="11">
      <t>エン</t>
    </rPh>
    <phoneticPr fontId="2"/>
  </si>
  <si>
    <t>　　　摘　　要</t>
    <rPh sb="3" eb="4">
      <t>チャク</t>
    </rPh>
    <rPh sb="6" eb="7">
      <t>ヨウ</t>
    </rPh>
    <phoneticPr fontId="2"/>
  </si>
  <si>
    <t>推進用鉄筋コンクリート管</t>
    <rPh sb="0" eb="2">
      <t>スイシン</t>
    </rPh>
    <rPh sb="2" eb="3">
      <t>ヨウ</t>
    </rPh>
    <rPh sb="3" eb="5">
      <t>テッキン</t>
    </rPh>
    <rPh sb="11" eb="12">
      <t>カン</t>
    </rPh>
    <phoneticPr fontId="2"/>
  </si>
  <si>
    <t>本</t>
    <rPh sb="0" eb="1">
      <t>ホン</t>
    </rPh>
    <phoneticPr fontId="2"/>
  </si>
  <si>
    <t>先頭管</t>
    <rPh sb="0" eb="2">
      <t>セントウ</t>
    </rPh>
    <rPh sb="2" eb="3">
      <t>カン</t>
    </rPh>
    <phoneticPr fontId="2"/>
  </si>
  <si>
    <t>　　　　　〃</t>
    <phoneticPr fontId="2"/>
  </si>
  <si>
    <t>標準管</t>
    <rPh sb="0" eb="2">
      <t>ヒョウジュン</t>
    </rPh>
    <rPh sb="2" eb="3">
      <t>カン</t>
    </rPh>
    <phoneticPr fontId="2"/>
  </si>
  <si>
    <t>管推進工</t>
    <rPh sb="0" eb="1">
      <t>カン</t>
    </rPh>
    <rPh sb="1" eb="3">
      <t>スイシン</t>
    </rPh>
    <rPh sb="3" eb="4">
      <t>コウ</t>
    </rPh>
    <phoneticPr fontId="2"/>
  </si>
  <si>
    <t>ｍ</t>
    <phoneticPr fontId="2"/>
  </si>
  <si>
    <t>B-1</t>
    <phoneticPr fontId="2"/>
  </si>
  <si>
    <t>管布設工</t>
    <rPh sb="0" eb="1">
      <t>カン</t>
    </rPh>
    <rPh sb="1" eb="3">
      <t>フセツ</t>
    </rPh>
    <rPh sb="3" eb="4">
      <t>コウ</t>
    </rPh>
    <phoneticPr fontId="2"/>
  </si>
  <si>
    <t>開削編による</t>
    <rPh sb="0" eb="2">
      <t>カイサク</t>
    </rPh>
    <rPh sb="2" eb="3">
      <t>ヘン</t>
    </rPh>
    <phoneticPr fontId="2"/>
  </si>
  <si>
    <t>仮設備工</t>
    <rPh sb="0" eb="1">
      <t>カリ</t>
    </rPh>
    <rPh sb="1" eb="3">
      <t>セツビ</t>
    </rPh>
    <rPh sb="3" eb="4">
      <t>コウ</t>
    </rPh>
    <phoneticPr fontId="2"/>
  </si>
  <si>
    <t>式</t>
    <rPh sb="0" eb="1">
      <t>シキ</t>
    </rPh>
    <phoneticPr fontId="2"/>
  </si>
  <si>
    <t>B-2</t>
    <phoneticPr fontId="2"/>
  </si>
  <si>
    <t>送排泥設備工</t>
    <rPh sb="0" eb="1">
      <t>ソウ</t>
    </rPh>
    <rPh sb="1" eb="2">
      <t>ハイ</t>
    </rPh>
    <rPh sb="2" eb="3">
      <t>ドロ</t>
    </rPh>
    <rPh sb="3" eb="5">
      <t>セツビ</t>
    </rPh>
    <rPh sb="5" eb="6">
      <t>コウ</t>
    </rPh>
    <phoneticPr fontId="2"/>
  </si>
  <si>
    <t>B-3</t>
    <phoneticPr fontId="2"/>
  </si>
  <si>
    <t>泥水処理設備工</t>
    <rPh sb="0" eb="2">
      <t>デイスイ</t>
    </rPh>
    <rPh sb="2" eb="4">
      <t>ショリ</t>
    </rPh>
    <rPh sb="4" eb="6">
      <t>セツビ</t>
    </rPh>
    <rPh sb="6" eb="7">
      <t>コウ</t>
    </rPh>
    <phoneticPr fontId="2"/>
  </si>
  <si>
    <t>B-4</t>
    <phoneticPr fontId="2"/>
  </si>
  <si>
    <t>水替工</t>
    <rPh sb="0" eb="1">
      <t>ミズ</t>
    </rPh>
    <rPh sb="1" eb="2">
      <t>カ</t>
    </rPh>
    <rPh sb="2" eb="3">
      <t>コウ</t>
    </rPh>
    <phoneticPr fontId="2"/>
  </si>
  <si>
    <t>B-5</t>
    <phoneticPr fontId="2"/>
  </si>
  <si>
    <t>立坑設備工</t>
    <rPh sb="0" eb="2">
      <t>タテコウ</t>
    </rPh>
    <rPh sb="2" eb="4">
      <t>セツビ</t>
    </rPh>
    <rPh sb="4" eb="5">
      <t>コウ</t>
    </rPh>
    <phoneticPr fontId="2"/>
  </si>
  <si>
    <t>B-6</t>
    <phoneticPr fontId="2"/>
  </si>
  <si>
    <t>発動発電機損料</t>
    <rPh sb="0" eb="2">
      <t>ハツドウ</t>
    </rPh>
    <rPh sb="2" eb="5">
      <t>ハツデンキ</t>
    </rPh>
    <rPh sb="5" eb="7">
      <t>ソンリョウ</t>
    </rPh>
    <phoneticPr fontId="2"/>
  </si>
  <si>
    <t>Ｂ－１管推進工</t>
    <rPh sb="3" eb="4">
      <t>カン</t>
    </rPh>
    <rPh sb="4" eb="6">
      <t>スイシン</t>
    </rPh>
    <rPh sb="6" eb="7">
      <t>コウ</t>
    </rPh>
    <phoneticPr fontId="2"/>
  </si>
  <si>
    <t>推進工</t>
    <rPh sb="0" eb="2">
      <t>スイシン</t>
    </rPh>
    <rPh sb="2" eb="3">
      <t>コウ</t>
    </rPh>
    <phoneticPr fontId="2"/>
  </si>
  <si>
    <t>C-1</t>
    <phoneticPr fontId="2"/>
  </si>
  <si>
    <t>機械器具損料その１</t>
    <rPh sb="0" eb="2">
      <t>キカイ</t>
    </rPh>
    <rPh sb="2" eb="4">
      <t>キグ</t>
    </rPh>
    <rPh sb="4" eb="6">
      <t>ソンリョウ</t>
    </rPh>
    <phoneticPr fontId="2"/>
  </si>
  <si>
    <t>表B-1-1</t>
    <rPh sb="0" eb="1">
      <t>ヒョウ</t>
    </rPh>
    <phoneticPr fontId="2"/>
  </si>
  <si>
    <t>電力料</t>
    <rPh sb="0" eb="2">
      <t>デンリョク</t>
    </rPh>
    <rPh sb="2" eb="3">
      <t>リョウ</t>
    </rPh>
    <phoneticPr fontId="2"/>
  </si>
  <si>
    <t>表B-1-2</t>
    <rPh sb="0" eb="1">
      <t>ヒョウ</t>
    </rPh>
    <phoneticPr fontId="2"/>
  </si>
  <si>
    <t>Ｂ－２仮設備工</t>
    <rPh sb="3" eb="4">
      <t>カリ</t>
    </rPh>
    <rPh sb="4" eb="6">
      <t>セツビ</t>
    </rPh>
    <rPh sb="6" eb="7">
      <t>コウ</t>
    </rPh>
    <phoneticPr fontId="2"/>
  </si>
  <si>
    <t>支圧壁工</t>
    <rPh sb="0" eb="1">
      <t>シ</t>
    </rPh>
    <rPh sb="1" eb="2">
      <t>アツ</t>
    </rPh>
    <rPh sb="2" eb="3">
      <t>ヘキ</t>
    </rPh>
    <rPh sb="3" eb="4">
      <t>コウ</t>
    </rPh>
    <phoneticPr fontId="2"/>
  </si>
  <si>
    <t>別途</t>
    <rPh sb="0" eb="2">
      <t>ベット</t>
    </rPh>
    <phoneticPr fontId="2"/>
  </si>
  <si>
    <t>発進坑口工</t>
    <rPh sb="0" eb="2">
      <t>ハッシン</t>
    </rPh>
    <rPh sb="2" eb="4">
      <t>コウグチ</t>
    </rPh>
    <rPh sb="4" eb="5">
      <t>コウ</t>
    </rPh>
    <phoneticPr fontId="2"/>
  </si>
  <si>
    <t>箇所</t>
    <rPh sb="0" eb="2">
      <t>カショ</t>
    </rPh>
    <phoneticPr fontId="2"/>
  </si>
  <si>
    <t>C-2-2</t>
    <phoneticPr fontId="2"/>
  </si>
  <si>
    <t>到達坑口工</t>
    <rPh sb="0" eb="2">
      <t>トウタツ</t>
    </rPh>
    <rPh sb="2" eb="4">
      <t>コウグチ</t>
    </rPh>
    <rPh sb="4" eb="5">
      <t>コウ</t>
    </rPh>
    <phoneticPr fontId="2"/>
  </si>
  <si>
    <t>C-2-3</t>
    <phoneticPr fontId="2"/>
  </si>
  <si>
    <t>推進用機器据付撤去工</t>
    <rPh sb="0" eb="3">
      <t>スイシンヨウ</t>
    </rPh>
    <rPh sb="3" eb="5">
      <t>キキ</t>
    </rPh>
    <rPh sb="5" eb="7">
      <t>スエツケ</t>
    </rPh>
    <rPh sb="7" eb="9">
      <t>テッキョ</t>
    </rPh>
    <rPh sb="9" eb="10">
      <t>コウ</t>
    </rPh>
    <phoneticPr fontId="2"/>
  </si>
  <si>
    <t>C-2-4</t>
    <phoneticPr fontId="2"/>
  </si>
  <si>
    <t>掘進機引上用受台工</t>
    <rPh sb="0" eb="3">
      <t>クッシンキ</t>
    </rPh>
    <rPh sb="3" eb="4">
      <t>ヒ</t>
    </rPh>
    <rPh sb="4" eb="5">
      <t>ア</t>
    </rPh>
    <rPh sb="5" eb="6">
      <t>ヨウ</t>
    </rPh>
    <rPh sb="6" eb="7">
      <t>ウ</t>
    </rPh>
    <rPh sb="7" eb="8">
      <t>ダイ</t>
    </rPh>
    <rPh sb="8" eb="9">
      <t>コウ</t>
    </rPh>
    <phoneticPr fontId="2"/>
  </si>
  <si>
    <t>C-2-5</t>
    <phoneticPr fontId="2"/>
  </si>
  <si>
    <t>掘進機据付工</t>
    <rPh sb="0" eb="3">
      <t>クッシンキ</t>
    </rPh>
    <rPh sb="3" eb="5">
      <t>スエツケ</t>
    </rPh>
    <rPh sb="5" eb="6">
      <t>コウ</t>
    </rPh>
    <phoneticPr fontId="2"/>
  </si>
  <si>
    <t>C-2-7</t>
    <phoneticPr fontId="2"/>
  </si>
  <si>
    <t>掘進機搬出工</t>
    <rPh sb="0" eb="3">
      <t>クッシンキ</t>
    </rPh>
    <rPh sb="3" eb="5">
      <t>ハンシュツ</t>
    </rPh>
    <rPh sb="5" eb="6">
      <t>コウ</t>
    </rPh>
    <phoneticPr fontId="2"/>
  </si>
  <si>
    <t>C-2-8</t>
    <phoneticPr fontId="2"/>
  </si>
  <si>
    <t>掘進機分割搬出工</t>
    <rPh sb="0" eb="3">
      <t>クッシンキ</t>
    </rPh>
    <rPh sb="3" eb="5">
      <t>ブンカツ</t>
    </rPh>
    <rPh sb="5" eb="7">
      <t>ハンシュツ</t>
    </rPh>
    <rPh sb="7" eb="8">
      <t>コウ</t>
    </rPh>
    <phoneticPr fontId="2"/>
  </si>
  <si>
    <t>C-2-9</t>
    <phoneticPr fontId="2"/>
  </si>
  <si>
    <t>発進立坑基礎工</t>
    <rPh sb="0" eb="2">
      <t>ハッシン</t>
    </rPh>
    <rPh sb="2" eb="4">
      <t>タテコウ</t>
    </rPh>
    <rPh sb="4" eb="6">
      <t>キソ</t>
    </rPh>
    <rPh sb="6" eb="7">
      <t>コウ</t>
    </rPh>
    <phoneticPr fontId="2"/>
  </si>
  <si>
    <t>発進口鏡切工</t>
    <rPh sb="0" eb="2">
      <t>ハッシン</t>
    </rPh>
    <rPh sb="2" eb="3">
      <t>コウ</t>
    </rPh>
    <rPh sb="3" eb="4">
      <t>カガミ</t>
    </rPh>
    <rPh sb="4" eb="5">
      <t>キ</t>
    </rPh>
    <rPh sb="5" eb="6">
      <t>コウ</t>
    </rPh>
    <phoneticPr fontId="2"/>
  </si>
  <si>
    <t>C-2-11</t>
    <phoneticPr fontId="2"/>
  </si>
  <si>
    <t>到達口鏡切工</t>
    <rPh sb="0" eb="2">
      <t>トウタツ</t>
    </rPh>
    <rPh sb="2" eb="3">
      <t>コウ</t>
    </rPh>
    <rPh sb="3" eb="4">
      <t>カガミ</t>
    </rPh>
    <rPh sb="4" eb="5">
      <t>キ</t>
    </rPh>
    <rPh sb="5" eb="6">
      <t>コウ</t>
    </rPh>
    <phoneticPr fontId="2"/>
  </si>
  <si>
    <t>注入設備工</t>
    <rPh sb="0" eb="2">
      <t>チュウニュウ</t>
    </rPh>
    <rPh sb="2" eb="4">
      <t>セツビ</t>
    </rPh>
    <rPh sb="4" eb="5">
      <t>コウ</t>
    </rPh>
    <phoneticPr fontId="2"/>
  </si>
  <si>
    <t>C-2-12</t>
    <phoneticPr fontId="2"/>
  </si>
  <si>
    <t>掘進機ビット補修費</t>
    <rPh sb="0" eb="3">
      <t>クッシンキ</t>
    </rPh>
    <rPh sb="6" eb="8">
      <t>ホシュウ</t>
    </rPh>
    <rPh sb="8" eb="9">
      <t>ヒ</t>
    </rPh>
    <phoneticPr fontId="2"/>
  </si>
  <si>
    <t>C-2-14</t>
    <phoneticPr fontId="2"/>
  </si>
  <si>
    <t>中間整備</t>
    <rPh sb="0" eb="2">
      <t>チュウカン</t>
    </rPh>
    <rPh sb="2" eb="4">
      <t>セイビ</t>
    </rPh>
    <phoneticPr fontId="2"/>
  </si>
  <si>
    <t>C-2-15</t>
    <phoneticPr fontId="2"/>
  </si>
  <si>
    <t>Ｂ－３送排泥設備工</t>
    <rPh sb="3" eb="4">
      <t>ソウ</t>
    </rPh>
    <rPh sb="4" eb="5">
      <t>ハイ</t>
    </rPh>
    <rPh sb="5" eb="6">
      <t>ドロ</t>
    </rPh>
    <rPh sb="6" eb="8">
      <t>セツビ</t>
    </rPh>
    <rPh sb="8" eb="9">
      <t>コウ</t>
    </rPh>
    <phoneticPr fontId="2"/>
  </si>
  <si>
    <t>送排泥管設置撤去工</t>
    <rPh sb="0" eb="1">
      <t>ソウ</t>
    </rPh>
    <rPh sb="1" eb="2">
      <t>ハイ</t>
    </rPh>
    <rPh sb="2" eb="3">
      <t>ドロ</t>
    </rPh>
    <rPh sb="3" eb="4">
      <t>カン</t>
    </rPh>
    <rPh sb="4" eb="6">
      <t>セッチ</t>
    </rPh>
    <rPh sb="6" eb="8">
      <t>テッキョ</t>
    </rPh>
    <rPh sb="8" eb="9">
      <t>コウ</t>
    </rPh>
    <phoneticPr fontId="2"/>
  </si>
  <si>
    <t>C-3-1</t>
    <phoneticPr fontId="2"/>
  </si>
  <si>
    <t>流体輸送設備工</t>
    <rPh sb="0" eb="2">
      <t>リュウタイ</t>
    </rPh>
    <rPh sb="2" eb="4">
      <t>ユソウ</t>
    </rPh>
    <rPh sb="4" eb="6">
      <t>セツビ</t>
    </rPh>
    <rPh sb="6" eb="7">
      <t>コウ</t>
    </rPh>
    <phoneticPr fontId="2"/>
  </si>
  <si>
    <t>C-3-2</t>
    <phoneticPr fontId="2"/>
  </si>
  <si>
    <t>機械損料</t>
    <rPh sb="0" eb="2">
      <t>キカイ</t>
    </rPh>
    <rPh sb="2" eb="4">
      <t>ソンリョウ</t>
    </rPh>
    <phoneticPr fontId="2"/>
  </si>
  <si>
    <t>表B-3-1</t>
    <rPh sb="0" eb="1">
      <t>ヒョウ</t>
    </rPh>
    <phoneticPr fontId="2"/>
  </si>
  <si>
    <t>表B-3-2</t>
    <rPh sb="0" eb="1">
      <t>ヒョウ</t>
    </rPh>
    <phoneticPr fontId="2"/>
  </si>
  <si>
    <t>Ｂ－４泥水処理設備工</t>
    <rPh sb="3" eb="5">
      <t>デイスイ</t>
    </rPh>
    <rPh sb="5" eb="7">
      <t>ショリ</t>
    </rPh>
    <rPh sb="7" eb="9">
      <t>セツビ</t>
    </rPh>
    <rPh sb="9" eb="10">
      <t>コウ</t>
    </rPh>
    <phoneticPr fontId="2"/>
  </si>
  <si>
    <t>C-4-1</t>
    <phoneticPr fontId="2"/>
  </si>
  <si>
    <t>残土処分工</t>
    <rPh sb="0" eb="2">
      <t>ザンド</t>
    </rPh>
    <rPh sb="2" eb="4">
      <t>ショブン</t>
    </rPh>
    <rPh sb="4" eb="5">
      <t>コウ</t>
    </rPh>
    <phoneticPr fontId="2"/>
  </si>
  <si>
    <r>
      <t>ｍ</t>
    </r>
    <r>
      <rPr>
        <vertAlign val="superscript"/>
        <sz val="9"/>
        <rFont val="ＭＳ Ｐ明朝"/>
        <family val="1"/>
        <charset val="128"/>
      </rPr>
      <t>３</t>
    </r>
    <phoneticPr fontId="2"/>
  </si>
  <si>
    <t>C-4-2</t>
    <phoneticPr fontId="2"/>
  </si>
  <si>
    <t>泥水処分工</t>
    <rPh sb="0" eb="2">
      <t>デイスイ</t>
    </rPh>
    <rPh sb="2" eb="4">
      <t>ショブン</t>
    </rPh>
    <rPh sb="4" eb="5">
      <t>コウ</t>
    </rPh>
    <phoneticPr fontId="2"/>
  </si>
  <si>
    <t>C-4-3</t>
    <phoneticPr fontId="2"/>
  </si>
  <si>
    <t>作泥材</t>
    <rPh sb="0" eb="1">
      <t>サク</t>
    </rPh>
    <rPh sb="1" eb="2">
      <t>ドロ</t>
    </rPh>
    <rPh sb="2" eb="3">
      <t>ザイ</t>
    </rPh>
    <phoneticPr fontId="2"/>
  </si>
  <si>
    <t>C-4-4</t>
    <phoneticPr fontId="2"/>
  </si>
  <si>
    <t>表B-4-1</t>
    <rPh sb="0" eb="1">
      <t>ヒョウ</t>
    </rPh>
    <phoneticPr fontId="2"/>
  </si>
  <si>
    <t>表B-4-2</t>
    <rPh sb="0" eb="1">
      <t>ヒョウ</t>
    </rPh>
    <phoneticPr fontId="2"/>
  </si>
  <si>
    <t>Ｂ－５水替え工</t>
    <rPh sb="3" eb="4">
      <t>ミズ</t>
    </rPh>
    <rPh sb="4" eb="5">
      <t>カ</t>
    </rPh>
    <rPh sb="6" eb="7">
      <t>コウ</t>
    </rPh>
    <phoneticPr fontId="2"/>
  </si>
  <si>
    <t>立坑築造水替工</t>
    <rPh sb="0" eb="2">
      <t>タテコウ</t>
    </rPh>
    <rPh sb="2" eb="4">
      <t>チクゾウ</t>
    </rPh>
    <rPh sb="4" eb="5">
      <t>ミズ</t>
    </rPh>
    <rPh sb="5" eb="6">
      <t>カ</t>
    </rPh>
    <rPh sb="6" eb="7">
      <t>コウ</t>
    </rPh>
    <phoneticPr fontId="2"/>
  </si>
  <si>
    <t>推進用水替工</t>
    <rPh sb="0" eb="2">
      <t>スイシン</t>
    </rPh>
    <rPh sb="2" eb="3">
      <t>ヨウ</t>
    </rPh>
    <rPh sb="3" eb="4">
      <t>ミズ</t>
    </rPh>
    <rPh sb="4" eb="5">
      <t>カ</t>
    </rPh>
    <rPh sb="5" eb="6">
      <t>コウ</t>
    </rPh>
    <phoneticPr fontId="2"/>
  </si>
  <si>
    <t>C-5×推進水替日数</t>
    <rPh sb="4" eb="6">
      <t>スイシン</t>
    </rPh>
    <rPh sb="6" eb="7">
      <t>ミズ</t>
    </rPh>
    <rPh sb="7" eb="8">
      <t>カ</t>
    </rPh>
    <rPh sb="8" eb="10">
      <t>ニッスウ</t>
    </rPh>
    <phoneticPr fontId="2"/>
  </si>
  <si>
    <t>Ｂ－６立坑設備工</t>
    <rPh sb="3" eb="5">
      <t>タテコウ</t>
    </rPh>
    <rPh sb="5" eb="7">
      <t>セツビ</t>
    </rPh>
    <rPh sb="7" eb="8">
      <t>コウ</t>
    </rPh>
    <phoneticPr fontId="2"/>
  </si>
  <si>
    <t>安全退避設備工</t>
    <rPh sb="0" eb="2">
      <t>アンゼン</t>
    </rPh>
    <rPh sb="2" eb="4">
      <t>タイヒ</t>
    </rPh>
    <rPh sb="4" eb="6">
      <t>セツビ</t>
    </rPh>
    <rPh sb="6" eb="7">
      <t>コウ</t>
    </rPh>
    <phoneticPr fontId="2"/>
  </si>
  <si>
    <t>C-6</t>
    <phoneticPr fontId="2"/>
  </si>
  <si>
    <t>Ｃ－１推進工</t>
    <rPh sb="3" eb="5">
      <t>スイシン</t>
    </rPh>
    <rPh sb="5" eb="6">
      <t>コウ</t>
    </rPh>
    <phoneticPr fontId="2"/>
  </si>
  <si>
    <t>（１m当り）</t>
    <rPh sb="3" eb="4">
      <t>アタ</t>
    </rPh>
    <phoneticPr fontId="2"/>
  </si>
  <si>
    <t>滑材</t>
    <rPh sb="0" eb="1">
      <t>カツ</t>
    </rPh>
    <rPh sb="1" eb="2">
      <t>ザイ</t>
    </rPh>
    <phoneticPr fontId="2"/>
  </si>
  <si>
    <t>㍑</t>
    <phoneticPr fontId="2"/>
  </si>
  <si>
    <t>Ｃ－１－１</t>
    <phoneticPr fontId="2"/>
  </si>
  <si>
    <t>世話役</t>
    <rPh sb="0" eb="3">
      <t>セワヤク</t>
    </rPh>
    <phoneticPr fontId="2"/>
  </si>
  <si>
    <t>人</t>
    <rPh sb="0" eb="1">
      <t>ヒト</t>
    </rPh>
    <phoneticPr fontId="2"/>
  </si>
  <si>
    <t>トラッククレーン</t>
    <phoneticPr fontId="2"/>
  </si>
  <si>
    <t>4.8～4.9t</t>
    <phoneticPr fontId="2"/>
  </si>
  <si>
    <t>諸雑費</t>
    <rPh sb="0" eb="1">
      <t>ショ</t>
    </rPh>
    <rPh sb="1" eb="3">
      <t>ザッピ</t>
    </rPh>
    <phoneticPr fontId="2"/>
  </si>
  <si>
    <t>労務費の４％</t>
    <rPh sb="0" eb="3">
      <t>ロウムヒ</t>
    </rPh>
    <phoneticPr fontId="2"/>
  </si>
  <si>
    <t>１日当り</t>
    <rPh sb="1" eb="2">
      <t>ヒ</t>
    </rPh>
    <rPh sb="2" eb="3">
      <t>アタ</t>
    </rPh>
    <phoneticPr fontId="2"/>
  </si>
  <si>
    <t>１m当り</t>
    <rPh sb="2" eb="3">
      <t>アタ</t>
    </rPh>
    <phoneticPr fontId="2"/>
  </si>
  <si>
    <t>計/日進量</t>
    <rPh sb="0" eb="1">
      <t>ケイ</t>
    </rPh>
    <rPh sb="2" eb="4">
      <t>ニッシン</t>
    </rPh>
    <rPh sb="4" eb="5">
      <t>リョウ</t>
    </rPh>
    <phoneticPr fontId="2"/>
  </si>
  <si>
    <t>Ｃ－１－１滑材注入材料</t>
    <rPh sb="5" eb="6">
      <t>カツ</t>
    </rPh>
    <rPh sb="6" eb="7">
      <t>ザイ</t>
    </rPh>
    <rPh sb="7" eb="9">
      <t>チュウニュウ</t>
    </rPh>
    <rPh sb="9" eb="11">
      <t>ザイリョウ</t>
    </rPh>
    <phoneticPr fontId="2"/>
  </si>
  <si>
    <t>（１㍑）</t>
    <phoneticPr fontId="2"/>
  </si>
  <si>
    <t>ニューバイオス</t>
    <phoneticPr fontId="2"/>
  </si>
  <si>
    <t>kg</t>
    <phoneticPr fontId="2"/>
  </si>
  <si>
    <t>水</t>
    <rPh sb="0" eb="1">
      <t>ミズ</t>
    </rPh>
    <phoneticPr fontId="2"/>
  </si>
  <si>
    <t>㎥</t>
    <phoneticPr fontId="2"/>
  </si>
  <si>
    <r>
      <t>m</t>
    </r>
    <r>
      <rPr>
        <vertAlign val="superscript"/>
        <sz val="10"/>
        <rFont val="ＭＳ Ｐ明朝"/>
        <family val="1"/>
        <charset val="128"/>
      </rPr>
      <t>3</t>
    </r>
    <phoneticPr fontId="2"/>
  </si>
  <si>
    <t>１㍑当り</t>
    <rPh sb="2" eb="3">
      <t>アタ</t>
    </rPh>
    <phoneticPr fontId="2"/>
  </si>
  <si>
    <t>計/1000</t>
    <rPh sb="0" eb="1">
      <t>ケイ</t>
    </rPh>
    <phoneticPr fontId="2"/>
  </si>
  <si>
    <t>Ｃ－２－２発進坑口工</t>
    <rPh sb="5" eb="7">
      <t>ハッシン</t>
    </rPh>
    <rPh sb="7" eb="9">
      <t>コウグチ</t>
    </rPh>
    <rPh sb="9" eb="10">
      <t>コウ</t>
    </rPh>
    <phoneticPr fontId="2"/>
  </si>
  <si>
    <t>（１箇所当り）</t>
    <rPh sb="2" eb="4">
      <t>カショ</t>
    </rPh>
    <rPh sb="4" eb="5">
      <t>アタ</t>
    </rPh>
    <phoneticPr fontId="2"/>
  </si>
  <si>
    <t>止水器</t>
    <rPh sb="0" eb="2">
      <t>シスイ</t>
    </rPh>
    <rPh sb="2" eb="3">
      <t>キ</t>
    </rPh>
    <phoneticPr fontId="2"/>
  </si>
  <si>
    <t>組</t>
    <rPh sb="0" eb="1">
      <t>クミ</t>
    </rPh>
    <phoneticPr fontId="2"/>
  </si>
  <si>
    <t>鋼材溶接工</t>
    <rPh sb="0" eb="2">
      <t>コウザイ</t>
    </rPh>
    <rPh sb="2" eb="4">
      <t>ヨウセツ</t>
    </rPh>
    <rPh sb="4" eb="5">
      <t>コウ</t>
    </rPh>
    <phoneticPr fontId="2"/>
  </si>
  <si>
    <t>Ｃ－２－３－１</t>
    <phoneticPr fontId="2"/>
  </si>
  <si>
    <t>鋼材切断工</t>
    <rPh sb="0" eb="2">
      <t>コウザイ</t>
    </rPh>
    <rPh sb="2" eb="4">
      <t>セツダン</t>
    </rPh>
    <rPh sb="4" eb="5">
      <t>コウ</t>
    </rPh>
    <phoneticPr fontId="2"/>
  </si>
  <si>
    <t>Ｃ－２－３－２</t>
    <phoneticPr fontId="2"/>
  </si>
  <si>
    <t>設置方一式</t>
    <rPh sb="0" eb="2">
      <t>セッチ</t>
    </rPh>
    <rPh sb="2" eb="3">
      <t>カタ</t>
    </rPh>
    <rPh sb="3" eb="5">
      <t>イッシキ</t>
    </rPh>
    <phoneticPr fontId="2"/>
  </si>
  <si>
    <t>Ｃ－２－３到達坑口工</t>
    <rPh sb="5" eb="7">
      <t>トウタツ</t>
    </rPh>
    <rPh sb="7" eb="9">
      <t>コウグチ</t>
    </rPh>
    <rPh sb="9" eb="10">
      <t>コウ</t>
    </rPh>
    <phoneticPr fontId="2"/>
  </si>
  <si>
    <t>人</t>
    <rPh sb="0" eb="1">
      <t>ニン</t>
    </rPh>
    <phoneticPr fontId="2"/>
  </si>
  <si>
    <t>Ｃ－２－３－１鋼材溶接工</t>
    <rPh sb="7" eb="9">
      <t>コウザイ</t>
    </rPh>
    <rPh sb="9" eb="11">
      <t>ヨウセツ</t>
    </rPh>
    <rPh sb="11" eb="12">
      <t>コウ</t>
    </rPh>
    <phoneticPr fontId="2"/>
  </si>
  <si>
    <t>kWh</t>
    <phoneticPr fontId="2"/>
  </si>
  <si>
    <t>溶接棒</t>
    <rPh sb="0" eb="2">
      <t>ヨウセツ</t>
    </rPh>
    <rPh sb="2" eb="3">
      <t>ボウ</t>
    </rPh>
    <phoneticPr fontId="2"/>
  </si>
  <si>
    <t>溶接機損料</t>
    <rPh sb="0" eb="2">
      <t>ヨウセツ</t>
    </rPh>
    <rPh sb="2" eb="3">
      <t>キ</t>
    </rPh>
    <rPh sb="3" eb="5">
      <t>ソンリョウ</t>
    </rPh>
    <phoneticPr fontId="2"/>
  </si>
  <si>
    <t>溶接棒の30％</t>
    <rPh sb="0" eb="2">
      <t>ヨウセツ</t>
    </rPh>
    <rPh sb="2" eb="3">
      <t>ボウ</t>
    </rPh>
    <phoneticPr fontId="2"/>
  </si>
  <si>
    <t>Ｃ－２－３－２鋼材切断工</t>
    <rPh sb="7" eb="9">
      <t>コウザイ</t>
    </rPh>
    <rPh sb="9" eb="11">
      <t>セツダン</t>
    </rPh>
    <rPh sb="11" eb="12">
      <t>コウ</t>
    </rPh>
    <phoneticPr fontId="2"/>
  </si>
  <si>
    <t>酸素</t>
    <rPh sb="0" eb="2">
      <t>サンソ</t>
    </rPh>
    <phoneticPr fontId="2"/>
  </si>
  <si>
    <t>アセチレン</t>
    <phoneticPr fontId="2"/>
  </si>
  <si>
    <t>アセチレンの30％</t>
    <phoneticPr fontId="2"/>
  </si>
  <si>
    <t>Ｃ－２－４推進用機器据付撤去工</t>
    <rPh sb="5" eb="8">
      <t>スイシンヨウ</t>
    </rPh>
    <rPh sb="8" eb="10">
      <t>キキ</t>
    </rPh>
    <rPh sb="10" eb="12">
      <t>スエツケ</t>
    </rPh>
    <rPh sb="12" eb="14">
      <t>テッキョ</t>
    </rPh>
    <rPh sb="14" eb="15">
      <t>コウ</t>
    </rPh>
    <phoneticPr fontId="2"/>
  </si>
  <si>
    <t>10～11t</t>
    <phoneticPr fontId="2"/>
  </si>
  <si>
    <t>2ｍ管φ３５０以上</t>
    <rPh sb="2" eb="3">
      <t>カン</t>
    </rPh>
    <rPh sb="7" eb="9">
      <t>イジョウ</t>
    </rPh>
    <phoneticPr fontId="2"/>
  </si>
  <si>
    <t>20～22t</t>
    <phoneticPr fontId="2"/>
  </si>
  <si>
    <t>Ｃ－２－５掘進機引上げ用受台工</t>
    <rPh sb="5" eb="8">
      <t>クッシンキ</t>
    </rPh>
    <rPh sb="8" eb="10">
      <t>ヒキア</t>
    </rPh>
    <rPh sb="11" eb="12">
      <t>ヨウ</t>
    </rPh>
    <rPh sb="12" eb="13">
      <t>ウ</t>
    </rPh>
    <rPh sb="13" eb="14">
      <t>ダイ</t>
    </rPh>
    <rPh sb="14" eb="15">
      <t>コウ</t>
    </rPh>
    <phoneticPr fontId="2"/>
  </si>
  <si>
    <t>（１箇所当り）</t>
  </si>
  <si>
    <t>鋼材損料</t>
    <rPh sb="0" eb="2">
      <t>コウザイ</t>
    </rPh>
    <rPh sb="2" eb="4">
      <t>ソンリョウ</t>
    </rPh>
    <phoneticPr fontId="2"/>
  </si>
  <si>
    <t>t</t>
    <phoneticPr fontId="2"/>
  </si>
  <si>
    <t>鋼材損料の30％</t>
    <rPh sb="0" eb="2">
      <t>コウザイ</t>
    </rPh>
    <rPh sb="2" eb="4">
      <t>ソンリョウ</t>
    </rPh>
    <phoneticPr fontId="2"/>
  </si>
  <si>
    <t>鋼材設置工</t>
    <rPh sb="0" eb="2">
      <t>コウザイ</t>
    </rPh>
    <rPh sb="2" eb="4">
      <t>セッチ</t>
    </rPh>
    <rPh sb="4" eb="5">
      <t>コウ</t>
    </rPh>
    <phoneticPr fontId="2"/>
  </si>
  <si>
    <t>Ｈ200×200</t>
    <phoneticPr fontId="2"/>
  </si>
  <si>
    <t>Ｃ-２-６</t>
    <phoneticPr fontId="2"/>
  </si>
  <si>
    <t>鋼材撤去工</t>
    <rPh sb="0" eb="2">
      <t>コウザイ</t>
    </rPh>
    <rPh sb="2" eb="4">
      <t>テッキョ</t>
    </rPh>
    <rPh sb="4" eb="5">
      <t>コウ</t>
    </rPh>
    <phoneticPr fontId="2"/>
  </si>
  <si>
    <t>H200×200</t>
    <phoneticPr fontId="2"/>
  </si>
  <si>
    <t>Ｃ－２－６鋼材設置撤去工</t>
    <rPh sb="5" eb="7">
      <t>コウザイ</t>
    </rPh>
    <rPh sb="7" eb="9">
      <t>セッチ</t>
    </rPh>
    <rPh sb="9" eb="11">
      <t>テッキョ</t>
    </rPh>
    <rPh sb="11" eb="12">
      <t>コウ</t>
    </rPh>
    <phoneticPr fontId="2"/>
  </si>
  <si>
    <t>（１t当り）</t>
    <rPh sb="3" eb="4">
      <t>アタ</t>
    </rPh>
    <phoneticPr fontId="2"/>
  </si>
  <si>
    <t>鋼材設置</t>
    <rPh sb="0" eb="2">
      <t>コウザイ</t>
    </rPh>
    <rPh sb="2" eb="4">
      <t>セッチ</t>
    </rPh>
    <phoneticPr fontId="2"/>
  </si>
  <si>
    <t>労務費9％</t>
    <rPh sb="0" eb="3">
      <t>ロウムヒ</t>
    </rPh>
    <phoneticPr fontId="2"/>
  </si>
  <si>
    <t>鋼材撤去</t>
    <rPh sb="0" eb="2">
      <t>コウザイ</t>
    </rPh>
    <rPh sb="2" eb="4">
      <t>テッキョ</t>
    </rPh>
    <phoneticPr fontId="2"/>
  </si>
  <si>
    <t>労務費8％</t>
    <rPh sb="0" eb="3">
      <t>ロウムヒ</t>
    </rPh>
    <phoneticPr fontId="2"/>
  </si>
  <si>
    <t>鋼材設置</t>
    <phoneticPr fontId="2"/>
  </si>
  <si>
    <t>鋼材撤去</t>
    <phoneticPr fontId="2"/>
  </si>
  <si>
    <t>１t当り</t>
    <rPh sb="2" eb="3">
      <t>アタ</t>
    </rPh>
    <phoneticPr fontId="2"/>
  </si>
  <si>
    <t>計/10t</t>
    <rPh sb="0" eb="1">
      <t>ケイ</t>
    </rPh>
    <phoneticPr fontId="2"/>
  </si>
  <si>
    <t>Ｃ－２－７掘進機据付工</t>
    <rPh sb="5" eb="8">
      <t>クッシンキ</t>
    </rPh>
    <rPh sb="8" eb="10">
      <t>スエツケ</t>
    </rPh>
    <rPh sb="10" eb="11">
      <t>コウ</t>
    </rPh>
    <phoneticPr fontId="2"/>
  </si>
  <si>
    <t>（１回当り）</t>
    <rPh sb="2" eb="3">
      <t>カイ</t>
    </rPh>
    <rPh sb="3" eb="4">
      <t>アタ</t>
    </rPh>
    <phoneticPr fontId="2"/>
  </si>
  <si>
    <t>掘進機据付方一式</t>
    <rPh sb="0" eb="3">
      <t>クッシンキ</t>
    </rPh>
    <rPh sb="3" eb="5">
      <t>スエツケ</t>
    </rPh>
    <rPh sb="5" eb="6">
      <t>カタ</t>
    </rPh>
    <rPh sb="6" eb="8">
      <t>イチシキ</t>
    </rPh>
    <phoneticPr fontId="2"/>
  </si>
  <si>
    <t>掘進機接合方一式</t>
    <rPh sb="0" eb="3">
      <t>クッシンキ</t>
    </rPh>
    <rPh sb="3" eb="5">
      <t>セツゴウ</t>
    </rPh>
    <rPh sb="5" eb="6">
      <t>カタ</t>
    </rPh>
    <rPh sb="6" eb="8">
      <t>イチシキ</t>
    </rPh>
    <phoneticPr fontId="2"/>
  </si>
  <si>
    <t>手伝い方一式</t>
    <rPh sb="0" eb="2">
      <t>テツダ</t>
    </rPh>
    <rPh sb="3" eb="4">
      <t>カタ</t>
    </rPh>
    <rPh sb="4" eb="6">
      <t>イチシキ</t>
    </rPh>
    <phoneticPr fontId="2"/>
  </si>
  <si>
    <t>Ｃ－２－８掘進機搬出工</t>
    <rPh sb="5" eb="8">
      <t>クッシンキ</t>
    </rPh>
    <rPh sb="8" eb="10">
      <t>ハンシュツ</t>
    </rPh>
    <rPh sb="10" eb="11">
      <t>コウ</t>
    </rPh>
    <phoneticPr fontId="2"/>
  </si>
  <si>
    <t>（１回当り）</t>
  </si>
  <si>
    <t>掘進機搬出</t>
    <rPh sb="0" eb="3">
      <t>クッシンキ</t>
    </rPh>
    <rPh sb="3" eb="5">
      <t>ハンシュツ</t>
    </rPh>
    <phoneticPr fontId="2"/>
  </si>
  <si>
    <t>掘進機分割方</t>
    <rPh sb="0" eb="3">
      <t>クッシンキ</t>
    </rPh>
    <rPh sb="3" eb="5">
      <t>ブンカツ</t>
    </rPh>
    <rPh sb="5" eb="6">
      <t>カタ</t>
    </rPh>
    <phoneticPr fontId="2"/>
  </si>
  <si>
    <t>手伝い方</t>
    <rPh sb="0" eb="2">
      <t>テツダ</t>
    </rPh>
    <rPh sb="3" eb="4">
      <t>カタ</t>
    </rPh>
    <phoneticPr fontId="2"/>
  </si>
  <si>
    <t>φ250～300</t>
    <phoneticPr fontId="2"/>
  </si>
  <si>
    <t>φ350～500</t>
    <phoneticPr fontId="2"/>
  </si>
  <si>
    <t>15～16t</t>
    <phoneticPr fontId="2"/>
  </si>
  <si>
    <t>φ600～700</t>
    <phoneticPr fontId="2"/>
  </si>
  <si>
    <t>Ｃ－２－９掘進機分割引上げ搬出工</t>
    <rPh sb="5" eb="8">
      <t>クッシンキ</t>
    </rPh>
    <rPh sb="8" eb="10">
      <t>ブンカツ</t>
    </rPh>
    <rPh sb="10" eb="12">
      <t>ヒキア</t>
    </rPh>
    <rPh sb="13" eb="15">
      <t>ハンシュツ</t>
    </rPh>
    <rPh sb="15" eb="16">
      <t>コウ</t>
    </rPh>
    <phoneticPr fontId="2"/>
  </si>
  <si>
    <t>（１回当り）</t>
    <phoneticPr fontId="2"/>
  </si>
  <si>
    <t>普通作業員</t>
    <rPh sb="0" eb="2">
      <t>フツウ</t>
    </rPh>
    <rPh sb="2" eb="4">
      <t>サギョウ</t>
    </rPh>
    <rPh sb="4" eb="5">
      <t>イン</t>
    </rPh>
    <phoneticPr fontId="2"/>
  </si>
  <si>
    <t>労務費10％</t>
    <rPh sb="0" eb="3">
      <t>ロウムヒ</t>
    </rPh>
    <phoneticPr fontId="2"/>
  </si>
  <si>
    <t>掘進機組立・整備</t>
    <rPh sb="0" eb="3">
      <t>クッシンキ</t>
    </rPh>
    <rPh sb="3" eb="5">
      <t>クミタ</t>
    </rPh>
    <rPh sb="6" eb="8">
      <t>セイビ</t>
    </rPh>
    <phoneticPr fontId="2"/>
  </si>
  <si>
    <t>C-2-9-1</t>
    <phoneticPr fontId="2"/>
  </si>
  <si>
    <t>Ｃ－２－９－１掘進機組立・整備</t>
    <rPh sb="7" eb="10">
      <t>クッシンキ</t>
    </rPh>
    <rPh sb="10" eb="12">
      <t>クミタ</t>
    </rPh>
    <rPh sb="13" eb="15">
      <t>セイビ</t>
    </rPh>
    <phoneticPr fontId="2"/>
  </si>
  <si>
    <t>鋼材</t>
    <rPh sb="0" eb="2">
      <t>コウザイ</t>
    </rPh>
    <phoneticPr fontId="2"/>
  </si>
  <si>
    <t>Ｈ－200</t>
    <phoneticPr fontId="2"/>
  </si>
  <si>
    <t>消耗部品費</t>
    <rPh sb="0" eb="2">
      <t>ショウモウ</t>
    </rPh>
    <rPh sb="2" eb="4">
      <t>ブヒン</t>
    </rPh>
    <rPh sb="4" eb="5">
      <t>ヒ</t>
    </rPh>
    <phoneticPr fontId="2"/>
  </si>
  <si>
    <t>調整運転工</t>
    <rPh sb="0" eb="2">
      <t>チョウセイ</t>
    </rPh>
    <rPh sb="2" eb="4">
      <t>ウンテン</t>
    </rPh>
    <rPh sb="4" eb="5">
      <t>コウ</t>
    </rPh>
    <phoneticPr fontId="2"/>
  </si>
  <si>
    <t>Ｃ－２－１１鏡切り工</t>
    <rPh sb="6" eb="7">
      <t>カガミ</t>
    </rPh>
    <rPh sb="7" eb="8">
      <t>キ</t>
    </rPh>
    <rPh sb="9" eb="10">
      <t>コウ</t>
    </rPh>
    <phoneticPr fontId="2"/>
  </si>
  <si>
    <t>（１箇所当り）</t>
    <phoneticPr fontId="2"/>
  </si>
  <si>
    <t>鏡切工</t>
    <rPh sb="0" eb="1">
      <t>カガミ</t>
    </rPh>
    <rPh sb="1" eb="2">
      <t>キ</t>
    </rPh>
    <rPh sb="2" eb="3">
      <t>コウ</t>
    </rPh>
    <phoneticPr fontId="2"/>
  </si>
  <si>
    <t>Ｃ－２－１１</t>
    <phoneticPr fontId="2"/>
  </si>
  <si>
    <t>Ｃ－２－１１－１鏡切工</t>
    <rPh sb="8" eb="9">
      <t>カガミ</t>
    </rPh>
    <rPh sb="9" eb="10">
      <t>キ</t>
    </rPh>
    <rPh sb="10" eb="11">
      <t>コウ</t>
    </rPh>
    <phoneticPr fontId="2"/>
  </si>
  <si>
    <t>Ｃ－２－１２注入設備工</t>
    <rPh sb="6" eb="8">
      <t>チュウニュウ</t>
    </rPh>
    <rPh sb="8" eb="10">
      <t>セツビ</t>
    </rPh>
    <rPh sb="10" eb="11">
      <t>コウ</t>
    </rPh>
    <phoneticPr fontId="2"/>
  </si>
  <si>
    <t>Ｃ－２－１４掘進機ビット補修費</t>
    <rPh sb="6" eb="9">
      <t>クッシンキ</t>
    </rPh>
    <rPh sb="12" eb="14">
      <t>ホシュウ</t>
    </rPh>
    <rPh sb="14" eb="15">
      <t>ヒ</t>
    </rPh>
    <phoneticPr fontId="2"/>
  </si>
  <si>
    <t>（１式）</t>
  </si>
  <si>
    <t>ビット補修費</t>
    <rPh sb="3" eb="5">
      <t>ホシュウ</t>
    </rPh>
    <rPh sb="5" eb="6">
      <t>ヒ</t>
    </rPh>
    <phoneticPr fontId="2"/>
  </si>
  <si>
    <t>Ｃ－２－１４－１ビット補修費</t>
    <rPh sb="11" eb="13">
      <t>ホシュウ</t>
    </rPh>
    <rPh sb="13" eb="14">
      <t>ヒ</t>
    </rPh>
    <phoneticPr fontId="2"/>
  </si>
  <si>
    <t>消雑費</t>
    <rPh sb="0" eb="1">
      <t>ショウ</t>
    </rPh>
    <rPh sb="1" eb="3">
      <t>ザッピ</t>
    </rPh>
    <phoneticPr fontId="2"/>
  </si>
  <si>
    <t>労務費２０％</t>
    <rPh sb="0" eb="3">
      <t>ロウムヒ</t>
    </rPh>
    <phoneticPr fontId="2"/>
  </si>
  <si>
    <t>Ｃ－２－１５中間整備</t>
    <rPh sb="6" eb="8">
      <t>チュウカン</t>
    </rPh>
    <rPh sb="8" eb="10">
      <t>セイビ</t>
    </rPh>
    <phoneticPr fontId="2"/>
  </si>
  <si>
    <t>Ｃ－３－１送排泥管設置撤去工</t>
    <rPh sb="5" eb="6">
      <t>ソウ</t>
    </rPh>
    <rPh sb="6" eb="7">
      <t>ハイ</t>
    </rPh>
    <rPh sb="7" eb="8">
      <t>ドロ</t>
    </rPh>
    <rPh sb="8" eb="9">
      <t>カン</t>
    </rPh>
    <rPh sb="9" eb="11">
      <t>セッチ</t>
    </rPh>
    <rPh sb="11" eb="13">
      <t>テッキョ</t>
    </rPh>
    <rPh sb="13" eb="14">
      <t>コウ</t>
    </rPh>
    <phoneticPr fontId="2"/>
  </si>
  <si>
    <t>配管材損料</t>
    <rPh sb="0" eb="2">
      <t>ハイカン</t>
    </rPh>
    <rPh sb="2" eb="3">
      <t>ザイ</t>
    </rPh>
    <rPh sb="3" eb="5">
      <t>ソンリョウ</t>
    </rPh>
    <phoneticPr fontId="2"/>
  </si>
  <si>
    <t>配管材（１）</t>
    <rPh sb="0" eb="2">
      <t>ハイカン</t>
    </rPh>
    <rPh sb="2" eb="3">
      <t>ザイ</t>
    </rPh>
    <phoneticPr fontId="2"/>
  </si>
  <si>
    <t>一現場当り</t>
    <rPh sb="0" eb="1">
      <t>ヒト</t>
    </rPh>
    <rPh sb="1" eb="3">
      <t>ゲンバ</t>
    </rPh>
    <rPh sb="3" eb="4">
      <t>アタ</t>
    </rPh>
    <phoneticPr fontId="2"/>
  </si>
  <si>
    <t>供用日当り</t>
    <rPh sb="0" eb="2">
      <t>キョウヨウ</t>
    </rPh>
    <rPh sb="2" eb="3">
      <t>ビ</t>
    </rPh>
    <rPh sb="3" eb="4">
      <t>アタ</t>
    </rPh>
    <phoneticPr fontId="2"/>
  </si>
  <si>
    <t>配管材（２）</t>
    <rPh sb="0" eb="2">
      <t>ハイカン</t>
    </rPh>
    <rPh sb="2" eb="3">
      <t>ザイ</t>
    </rPh>
    <phoneticPr fontId="2"/>
  </si>
  <si>
    <t>Ｃ－３－２流体輸送設備工</t>
    <rPh sb="5" eb="7">
      <t>リュウタイ</t>
    </rPh>
    <rPh sb="7" eb="9">
      <t>ユソウ</t>
    </rPh>
    <rPh sb="9" eb="11">
      <t>セツビ</t>
    </rPh>
    <rPh sb="11" eb="12">
      <t>コウ</t>
    </rPh>
    <phoneticPr fontId="2"/>
  </si>
  <si>
    <t>送泥ポンプ設置撤去工</t>
    <rPh sb="0" eb="1">
      <t>ソウ</t>
    </rPh>
    <rPh sb="1" eb="2">
      <t>ドロ</t>
    </rPh>
    <rPh sb="5" eb="7">
      <t>セッチ</t>
    </rPh>
    <rPh sb="7" eb="9">
      <t>テッキョ</t>
    </rPh>
    <rPh sb="9" eb="10">
      <t>コウ</t>
    </rPh>
    <phoneticPr fontId="2"/>
  </si>
  <si>
    <t>Ｃ－３－２－１</t>
    <phoneticPr fontId="2"/>
  </si>
  <si>
    <t>排泥ポンプ設置撤去工</t>
    <rPh sb="0" eb="1">
      <t>ハイ</t>
    </rPh>
    <rPh sb="1" eb="2">
      <t>ドロ</t>
    </rPh>
    <rPh sb="5" eb="7">
      <t>セッチ</t>
    </rPh>
    <rPh sb="7" eb="9">
      <t>テッキョ</t>
    </rPh>
    <rPh sb="9" eb="10">
      <t>コウ</t>
    </rPh>
    <phoneticPr fontId="2"/>
  </si>
  <si>
    <t>Ｃ－３－２－２</t>
    <phoneticPr fontId="2"/>
  </si>
  <si>
    <t>中継ポンプ設置撤去工</t>
    <rPh sb="0" eb="2">
      <t>チュウケイ</t>
    </rPh>
    <rPh sb="5" eb="7">
      <t>セッチ</t>
    </rPh>
    <rPh sb="7" eb="9">
      <t>テッキョ</t>
    </rPh>
    <rPh sb="9" eb="10">
      <t>コウ</t>
    </rPh>
    <phoneticPr fontId="2"/>
  </si>
  <si>
    <t>（Ｃ）</t>
    <phoneticPr fontId="2"/>
  </si>
  <si>
    <t>Ｃ－３－２－１送泥ポンプ設置撤去工</t>
    <rPh sb="7" eb="8">
      <t>ソウ</t>
    </rPh>
    <rPh sb="8" eb="9">
      <t>ドロ</t>
    </rPh>
    <rPh sb="12" eb="14">
      <t>セッチ</t>
    </rPh>
    <rPh sb="14" eb="16">
      <t>テッキョ</t>
    </rPh>
    <rPh sb="16" eb="17">
      <t>コウ</t>
    </rPh>
    <phoneticPr fontId="2"/>
  </si>
  <si>
    <t>（Ａ）</t>
    <phoneticPr fontId="2"/>
  </si>
  <si>
    <t>（Ａ）送泥ポンプ設置撤去工</t>
    <rPh sb="3" eb="4">
      <t>ソウ</t>
    </rPh>
    <rPh sb="4" eb="5">
      <t>ドロ</t>
    </rPh>
    <rPh sb="8" eb="10">
      <t>セッチ</t>
    </rPh>
    <rPh sb="10" eb="12">
      <t>テッキョ</t>
    </rPh>
    <rPh sb="12" eb="13">
      <t>コウ</t>
    </rPh>
    <phoneticPr fontId="2"/>
  </si>
  <si>
    <t>（１台当り）</t>
    <rPh sb="2" eb="3">
      <t>ダイ</t>
    </rPh>
    <rPh sb="3" eb="4">
      <t>アタ</t>
    </rPh>
    <phoneticPr fontId="2"/>
  </si>
  <si>
    <t>配管工</t>
    <rPh sb="0" eb="2">
      <t>ハイカン</t>
    </rPh>
    <rPh sb="2" eb="3">
      <t>コウ</t>
    </rPh>
    <phoneticPr fontId="2"/>
  </si>
  <si>
    <t>（Ｂ）排泥ポンプ設置撤去工</t>
    <rPh sb="3" eb="4">
      <t>ハイ</t>
    </rPh>
    <rPh sb="4" eb="5">
      <t>ドロ</t>
    </rPh>
    <rPh sb="8" eb="10">
      <t>セッチ</t>
    </rPh>
    <rPh sb="10" eb="12">
      <t>テッキョ</t>
    </rPh>
    <rPh sb="12" eb="13">
      <t>コウ</t>
    </rPh>
    <phoneticPr fontId="2"/>
  </si>
  <si>
    <t>（Ｃ）中継ポンプ（地上）設置撤去工</t>
    <rPh sb="3" eb="5">
      <t>チュウケイ</t>
    </rPh>
    <rPh sb="9" eb="11">
      <t>チジョウ</t>
    </rPh>
    <rPh sb="12" eb="14">
      <t>セッチ</t>
    </rPh>
    <rPh sb="14" eb="16">
      <t>テッキョ</t>
    </rPh>
    <rPh sb="16" eb="17">
      <t>コウ</t>
    </rPh>
    <phoneticPr fontId="2"/>
  </si>
  <si>
    <t>Ｃ－４－１泥水処理設備工（第２方式）</t>
    <rPh sb="5" eb="7">
      <t>デイスイ</t>
    </rPh>
    <rPh sb="7" eb="9">
      <t>ショリ</t>
    </rPh>
    <rPh sb="9" eb="11">
      <t>セツビ</t>
    </rPh>
    <rPh sb="11" eb="12">
      <t>コウ</t>
    </rPh>
    <rPh sb="13" eb="14">
      <t>ダイ</t>
    </rPh>
    <rPh sb="15" eb="17">
      <t>ホウシキ</t>
    </rPh>
    <phoneticPr fontId="2"/>
  </si>
  <si>
    <t>泥水設備設置撤去工</t>
    <rPh sb="0" eb="2">
      <t>デイスイ</t>
    </rPh>
    <rPh sb="2" eb="4">
      <t>セツビ</t>
    </rPh>
    <rPh sb="4" eb="6">
      <t>セッチ</t>
    </rPh>
    <rPh sb="6" eb="8">
      <t>テッキョ</t>
    </rPh>
    <rPh sb="8" eb="9">
      <t>コウ</t>
    </rPh>
    <phoneticPr fontId="2"/>
  </si>
  <si>
    <t>Ｃ－４－１－１</t>
    <phoneticPr fontId="2"/>
  </si>
  <si>
    <t>水槽設置撤去工</t>
    <rPh sb="0" eb="2">
      <t>スイソウ</t>
    </rPh>
    <rPh sb="2" eb="4">
      <t>セッチ</t>
    </rPh>
    <rPh sb="4" eb="6">
      <t>テッキョ</t>
    </rPh>
    <rPh sb="6" eb="7">
      <t>コウ</t>
    </rPh>
    <phoneticPr fontId="2"/>
  </si>
  <si>
    <t>Ｃ－４－１－２</t>
    <phoneticPr fontId="2"/>
  </si>
  <si>
    <t>処理設備付帯作業工</t>
    <rPh sb="0" eb="2">
      <t>ショリ</t>
    </rPh>
    <rPh sb="2" eb="4">
      <t>セツビ</t>
    </rPh>
    <rPh sb="4" eb="6">
      <t>フタイ</t>
    </rPh>
    <rPh sb="6" eb="8">
      <t>サギョウ</t>
    </rPh>
    <rPh sb="8" eb="9">
      <t>コウ</t>
    </rPh>
    <phoneticPr fontId="2"/>
  </si>
  <si>
    <t>Ｃ－４－１－３</t>
    <phoneticPr fontId="2"/>
  </si>
  <si>
    <t>Ｃ－４－１－１泥水設備設置撤去工（ユニット型処理機）</t>
    <rPh sb="7" eb="9">
      <t>デイスイ</t>
    </rPh>
    <rPh sb="9" eb="11">
      <t>セツビ</t>
    </rPh>
    <rPh sb="11" eb="13">
      <t>セッチ</t>
    </rPh>
    <rPh sb="13" eb="15">
      <t>テッキョ</t>
    </rPh>
    <rPh sb="15" eb="16">
      <t>コウ</t>
    </rPh>
    <rPh sb="21" eb="22">
      <t>カタ</t>
    </rPh>
    <rPh sb="22" eb="25">
      <t>ショリキ</t>
    </rPh>
    <phoneticPr fontId="2"/>
  </si>
  <si>
    <t>Ｃ－４－１－２水槽設置撤去工</t>
    <rPh sb="7" eb="9">
      <t>スイソウ</t>
    </rPh>
    <rPh sb="9" eb="11">
      <t>セッチ</t>
    </rPh>
    <rPh sb="11" eb="13">
      <t>テッキョ</t>
    </rPh>
    <rPh sb="13" eb="14">
      <t>コウ</t>
    </rPh>
    <phoneticPr fontId="2"/>
  </si>
  <si>
    <t>Ｃ－４－１－３処理設備付帯作業工</t>
    <rPh sb="7" eb="9">
      <t>ショリ</t>
    </rPh>
    <rPh sb="9" eb="11">
      <t>セツビ</t>
    </rPh>
    <rPh sb="11" eb="13">
      <t>フタイ</t>
    </rPh>
    <rPh sb="13" eb="15">
      <t>サギョウ</t>
    </rPh>
    <rPh sb="15" eb="16">
      <t>コウ</t>
    </rPh>
    <phoneticPr fontId="2"/>
  </si>
  <si>
    <t>250Ａ</t>
    <phoneticPr fontId="2"/>
  </si>
  <si>
    <t>Ｃ－４－２残土処分工</t>
    <rPh sb="5" eb="7">
      <t>ザンド</t>
    </rPh>
    <rPh sb="7" eb="9">
      <t>ショブン</t>
    </rPh>
    <rPh sb="9" eb="10">
      <t>コウ</t>
    </rPh>
    <phoneticPr fontId="2"/>
  </si>
  <si>
    <t>（１㎥当り）</t>
    <rPh sb="3" eb="4">
      <t>アタ</t>
    </rPh>
    <phoneticPr fontId="2"/>
  </si>
  <si>
    <t>軽油</t>
    <rPh sb="0" eb="2">
      <t>ケイユ</t>
    </rPh>
    <phoneticPr fontId="2"/>
  </si>
  <si>
    <t>油脂類</t>
    <rPh sb="0" eb="2">
      <t>ユシ</t>
    </rPh>
    <rPh sb="2" eb="3">
      <t>ルイ</t>
    </rPh>
    <phoneticPr fontId="2"/>
  </si>
  <si>
    <t>軽油20％</t>
    <rPh sb="0" eb="2">
      <t>ケイユ</t>
    </rPh>
    <phoneticPr fontId="2"/>
  </si>
  <si>
    <t>時</t>
    <rPh sb="0" eb="1">
      <t>ジ</t>
    </rPh>
    <phoneticPr fontId="2"/>
  </si>
  <si>
    <t>タイヤ損耗費</t>
    <rPh sb="3" eb="5">
      <t>ソンモウ</t>
    </rPh>
    <rPh sb="5" eb="6">
      <t>ヒ</t>
    </rPh>
    <phoneticPr fontId="2"/>
  </si>
  <si>
    <t>１時間当り</t>
    <rPh sb="1" eb="3">
      <t>ジカン</t>
    </rPh>
    <rPh sb="3" eb="4">
      <t>アタ</t>
    </rPh>
    <phoneticPr fontId="2"/>
  </si>
  <si>
    <t>１㎥当り</t>
    <rPh sb="2" eb="3">
      <t>アタ</t>
    </rPh>
    <phoneticPr fontId="2"/>
  </si>
  <si>
    <t>処分費</t>
    <rPh sb="0" eb="2">
      <t>ショブン</t>
    </rPh>
    <rPh sb="2" eb="3">
      <t>ヒ</t>
    </rPh>
    <phoneticPr fontId="2"/>
  </si>
  <si>
    <t>Ｃ－４－３泥水処分工（バキューム車）</t>
    <rPh sb="5" eb="7">
      <t>デイスイ</t>
    </rPh>
    <rPh sb="7" eb="9">
      <t>ショブン</t>
    </rPh>
    <rPh sb="9" eb="10">
      <t>コウ</t>
    </rPh>
    <rPh sb="16" eb="17">
      <t>シャ</t>
    </rPh>
    <phoneticPr fontId="2"/>
  </si>
  <si>
    <t>汚泥吸排車</t>
    <rPh sb="0" eb="2">
      <t>オデイ</t>
    </rPh>
    <rPh sb="2" eb="3">
      <t>キュウ</t>
    </rPh>
    <rPh sb="3" eb="4">
      <t>ハイ</t>
    </rPh>
    <rPh sb="4" eb="5">
      <t>シャ</t>
    </rPh>
    <phoneticPr fontId="2"/>
  </si>
  <si>
    <t>1㎥当り</t>
    <rPh sb="2" eb="3">
      <t>アタ</t>
    </rPh>
    <phoneticPr fontId="2"/>
  </si>
  <si>
    <t>計/１時間当り運搬量</t>
    <rPh sb="0" eb="1">
      <t>ケイ</t>
    </rPh>
    <rPh sb="3" eb="5">
      <t>ジカン</t>
    </rPh>
    <rPh sb="5" eb="6">
      <t>アタ</t>
    </rPh>
    <rPh sb="7" eb="9">
      <t>ウンパン</t>
    </rPh>
    <rPh sb="9" eb="10">
      <t>リョウ</t>
    </rPh>
    <phoneticPr fontId="2"/>
  </si>
  <si>
    <t>Ｃ－４－４作泥材</t>
    <rPh sb="5" eb="6">
      <t>サク</t>
    </rPh>
    <rPh sb="6" eb="7">
      <t>ドロ</t>
    </rPh>
    <rPh sb="7" eb="8">
      <t>ザイ</t>
    </rPh>
    <phoneticPr fontId="2"/>
  </si>
  <si>
    <t>ビスカ</t>
    <phoneticPr fontId="2"/>
  </si>
  <si>
    <t>ｋｇ</t>
    <phoneticPr fontId="2"/>
  </si>
  <si>
    <t>粘土</t>
    <rPh sb="0" eb="1">
      <t>ネン</t>
    </rPh>
    <rPh sb="1" eb="2">
      <t>ド</t>
    </rPh>
    <phoneticPr fontId="2"/>
  </si>
  <si>
    <t>Ｃ－５ポンプ運転工</t>
    <rPh sb="6" eb="8">
      <t>ウンテン</t>
    </rPh>
    <rPh sb="8" eb="9">
      <t>コウ</t>
    </rPh>
    <phoneticPr fontId="2"/>
  </si>
  <si>
    <t>（１日当り）</t>
  </si>
  <si>
    <t>商用電力未使用時</t>
    <rPh sb="0" eb="2">
      <t>ショウヨウ</t>
    </rPh>
    <rPh sb="2" eb="4">
      <t>デンリョク</t>
    </rPh>
    <rPh sb="4" eb="7">
      <t>ミシヨウ</t>
    </rPh>
    <rPh sb="7" eb="8">
      <t>ジ</t>
    </rPh>
    <phoneticPr fontId="2"/>
  </si>
  <si>
    <t>ｋＷｈ</t>
    <phoneticPr fontId="2"/>
  </si>
  <si>
    <t>潜水ポンプ</t>
    <rPh sb="0" eb="2">
      <t>センスイ</t>
    </rPh>
    <phoneticPr fontId="2"/>
  </si>
  <si>
    <t>発動発電機</t>
    <rPh sb="0" eb="2">
      <t>ハツドウ</t>
    </rPh>
    <rPh sb="2" eb="5">
      <t>ハツデンキ</t>
    </rPh>
    <phoneticPr fontId="2"/>
  </si>
  <si>
    <t>Ｃ－６安全退避設備工</t>
    <rPh sb="3" eb="5">
      <t>アンゼン</t>
    </rPh>
    <rPh sb="5" eb="7">
      <t>タイヒ</t>
    </rPh>
    <rPh sb="7" eb="9">
      <t>セツビ</t>
    </rPh>
    <rPh sb="9" eb="10">
      <t>コウ</t>
    </rPh>
    <phoneticPr fontId="2"/>
  </si>
  <si>
    <t>昇降設備</t>
    <rPh sb="0" eb="2">
      <t>ショウコウ</t>
    </rPh>
    <rPh sb="2" eb="4">
      <t>セツビ</t>
    </rPh>
    <phoneticPr fontId="2"/>
  </si>
  <si>
    <t>アルミ梯子</t>
    <rPh sb="3" eb="5">
      <t>ハシゴ</t>
    </rPh>
    <phoneticPr fontId="2"/>
  </si>
  <si>
    <t>昇降用梯子含</t>
    <rPh sb="0" eb="3">
      <t>ショウコウヨウ</t>
    </rPh>
    <rPh sb="3" eb="5">
      <t>ハシゴ</t>
    </rPh>
    <rPh sb="5" eb="6">
      <t>フク</t>
    </rPh>
    <phoneticPr fontId="2"/>
  </si>
  <si>
    <t>4.8t～4.9t</t>
    <phoneticPr fontId="2"/>
  </si>
  <si>
    <t>掘進機用</t>
    <rPh sb="0" eb="3">
      <t>クッシンキ</t>
    </rPh>
    <rPh sb="3" eb="4">
      <t>ヨウ</t>
    </rPh>
    <phoneticPr fontId="2"/>
  </si>
  <si>
    <t>環流・処理用</t>
    <rPh sb="0" eb="2">
      <t>カンリュウ</t>
    </rPh>
    <rPh sb="3" eb="5">
      <t>ショリ</t>
    </rPh>
    <rPh sb="5" eb="6">
      <t>ヨウ</t>
    </rPh>
    <phoneticPr fontId="2"/>
  </si>
  <si>
    <t>発電機損料（掘進機用）</t>
    <rPh sb="0" eb="3">
      <t>ハツデンキ</t>
    </rPh>
    <rPh sb="3" eb="5">
      <t>ソンリョウ</t>
    </rPh>
    <rPh sb="6" eb="10">
      <t>クッシンキヨウ</t>
    </rPh>
    <phoneticPr fontId="2"/>
  </si>
  <si>
    <t>（１日当り）</t>
    <rPh sb="2" eb="3">
      <t>ニチ</t>
    </rPh>
    <rPh sb="3" eb="4">
      <t>アタ</t>
    </rPh>
    <phoneticPr fontId="2"/>
  </si>
  <si>
    <t>発電機損料</t>
    <rPh sb="0" eb="3">
      <t>ハツデンキ</t>
    </rPh>
    <rPh sb="3" eb="5">
      <t>ソンリョウ</t>
    </rPh>
    <phoneticPr fontId="2"/>
  </si>
  <si>
    <t>発電機損料（環流、処理機用）</t>
    <rPh sb="0" eb="3">
      <t>ハツデンキ</t>
    </rPh>
    <rPh sb="3" eb="5">
      <t>ソンリョウ</t>
    </rPh>
    <rPh sb="6" eb="8">
      <t>カンリュウ</t>
    </rPh>
    <rPh sb="9" eb="12">
      <t>ショリキ</t>
    </rPh>
    <rPh sb="12" eb="13">
      <t>ヨウ</t>
    </rPh>
    <phoneticPr fontId="2"/>
  </si>
  <si>
    <t>推進設備損料</t>
    <rPh sb="0" eb="2">
      <t>スイシン</t>
    </rPh>
    <rPh sb="2" eb="4">
      <t>セツビ</t>
    </rPh>
    <rPh sb="4" eb="6">
      <t>ソンリョウ</t>
    </rPh>
    <phoneticPr fontId="2"/>
  </si>
  <si>
    <t>台数</t>
    <rPh sb="0" eb="2">
      <t>ダイスウ</t>
    </rPh>
    <phoneticPr fontId="2"/>
  </si>
  <si>
    <t>日数</t>
    <rPh sb="0" eb="2">
      <t>ニッスウ</t>
    </rPh>
    <phoneticPr fontId="2"/>
  </si>
  <si>
    <t>単　　　価</t>
    <rPh sb="0" eb="1">
      <t>タン</t>
    </rPh>
    <rPh sb="4" eb="5">
      <t>アタイ</t>
    </rPh>
    <phoneticPr fontId="2"/>
  </si>
  <si>
    <t>金　　　　額</t>
    <rPh sb="0" eb="1">
      <t>キン</t>
    </rPh>
    <rPh sb="5" eb="6">
      <t>ガク</t>
    </rPh>
    <phoneticPr fontId="2"/>
  </si>
  <si>
    <t>摘　　　要</t>
    <rPh sb="0" eb="1">
      <t>チャク</t>
    </rPh>
    <rPh sb="4" eb="5">
      <t>ヨウ</t>
    </rPh>
    <phoneticPr fontId="2"/>
  </si>
  <si>
    <t>内訳</t>
    <rPh sb="0" eb="2">
      <t>ウチワケ</t>
    </rPh>
    <phoneticPr fontId="2"/>
  </si>
  <si>
    <t>ビット費</t>
    <rPh sb="3" eb="4">
      <t>ヒ</t>
    </rPh>
    <phoneticPr fontId="2"/>
  </si>
  <si>
    <t>１式</t>
    <rPh sb="1" eb="2">
      <t>シキ</t>
    </rPh>
    <phoneticPr fontId="2"/>
  </si>
  <si>
    <t>推進装置</t>
    <rPh sb="0" eb="2">
      <t>スイシン</t>
    </rPh>
    <rPh sb="2" eb="4">
      <t>ソウチ</t>
    </rPh>
    <phoneticPr fontId="2"/>
  </si>
  <si>
    <t>レーザートランシット</t>
    <phoneticPr fontId="2"/>
  </si>
  <si>
    <t>グラウトミキサ</t>
    <phoneticPr fontId="2"/>
  </si>
  <si>
    <t>グラウトポンプ</t>
    <phoneticPr fontId="2"/>
  </si>
  <si>
    <t>引抜装置</t>
    <rPh sb="0" eb="2">
      <t>ヒキヌキ</t>
    </rPh>
    <rPh sb="2" eb="4">
      <t>ソウチ</t>
    </rPh>
    <phoneticPr fontId="2"/>
  </si>
  <si>
    <t>推進設備電力料</t>
    <rPh sb="0" eb="2">
      <t>スイシン</t>
    </rPh>
    <rPh sb="2" eb="4">
      <t>セツビ</t>
    </rPh>
    <rPh sb="4" eb="6">
      <t>デンリョク</t>
    </rPh>
    <rPh sb="6" eb="7">
      <t>リョウ</t>
    </rPh>
    <phoneticPr fontId="2"/>
  </si>
  <si>
    <t>１時間電力消費量</t>
    <rPh sb="1" eb="3">
      <t>ジカン</t>
    </rPh>
    <rPh sb="3" eb="5">
      <t>デンリョク</t>
    </rPh>
    <rPh sb="5" eb="8">
      <t>ショウヒリョウ</t>
    </rPh>
    <phoneticPr fontId="2"/>
  </si>
  <si>
    <t>環流装置損料</t>
    <rPh sb="0" eb="2">
      <t>カンリュウ</t>
    </rPh>
    <rPh sb="2" eb="4">
      <t>ソウチ</t>
    </rPh>
    <rPh sb="4" eb="6">
      <t>ソンリョウ</t>
    </rPh>
    <phoneticPr fontId="2"/>
  </si>
  <si>
    <t>送泥ポンプ</t>
    <rPh sb="0" eb="1">
      <t>ソウ</t>
    </rPh>
    <rPh sb="1" eb="2">
      <t>ドロ</t>
    </rPh>
    <phoneticPr fontId="2"/>
  </si>
  <si>
    <t>排泥ポンプ</t>
    <rPh sb="0" eb="1">
      <t>オシヒラ</t>
    </rPh>
    <rPh sb="1" eb="2">
      <t>ドロ</t>
    </rPh>
    <phoneticPr fontId="2"/>
  </si>
  <si>
    <t>中継ポンプ</t>
    <rPh sb="0" eb="2">
      <t>チュウケイ</t>
    </rPh>
    <phoneticPr fontId="2"/>
  </si>
  <si>
    <t>排泥水流量測定装置</t>
    <rPh sb="0" eb="1">
      <t>ハイ</t>
    </rPh>
    <rPh sb="1" eb="2">
      <t>ドロ</t>
    </rPh>
    <rPh sb="2" eb="3">
      <t>スイ</t>
    </rPh>
    <rPh sb="3" eb="4">
      <t>リュウ</t>
    </rPh>
    <rPh sb="4" eb="5">
      <t>リョウ</t>
    </rPh>
    <rPh sb="5" eb="7">
      <t>ソクテイ</t>
    </rPh>
    <rPh sb="7" eb="9">
      <t>ソウチ</t>
    </rPh>
    <phoneticPr fontId="2"/>
  </si>
  <si>
    <t>環流装置電力料</t>
    <rPh sb="0" eb="2">
      <t>カンリュウ</t>
    </rPh>
    <rPh sb="2" eb="4">
      <t>ソウチ</t>
    </rPh>
    <rPh sb="4" eb="6">
      <t>デンリョク</t>
    </rPh>
    <rPh sb="6" eb="7">
      <t>リョウ</t>
    </rPh>
    <phoneticPr fontId="2"/>
  </si>
  <si>
    <t>泥水処理設備損料</t>
    <rPh sb="0" eb="2">
      <t>デイスイ</t>
    </rPh>
    <rPh sb="2" eb="4">
      <t>ショリ</t>
    </rPh>
    <rPh sb="4" eb="6">
      <t>セツビ</t>
    </rPh>
    <rPh sb="6" eb="8">
      <t>ソンリョウ</t>
    </rPh>
    <phoneticPr fontId="2"/>
  </si>
  <si>
    <t>ユニット型処理装置</t>
    <rPh sb="4" eb="5">
      <t>ガタ</t>
    </rPh>
    <rPh sb="5" eb="7">
      <t>ショリ</t>
    </rPh>
    <rPh sb="7" eb="9">
      <t>ソウチ</t>
    </rPh>
    <phoneticPr fontId="2"/>
  </si>
  <si>
    <t>作泥槽</t>
    <rPh sb="0" eb="2">
      <t>サクデイ</t>
    </rPh>
    <rPh sb="2" eb="3">
      <t>ソウ</t>
    </rPh>
    <phoneticPr fontId="2"/>
  </si>
  <si>
    <t>ユニットに含む</t>
    <rPh sb="5" eb="6">
      <t>フク</t>
    </rPh>
    <phoneticPr fontId="2"/>
  </si>
  <si>
    <t>攪拌水槽</t>
    <rPh sb="0" eb="2">
      <t>カクハン</t>
    </rPh>
    <rPh sb="2" eb="4">
      <t>スイソウ</t>
    </rPh>
    <phoneticPr fontId="2"/>
  </si>
  <si>
    <t>追加機器</t>
    <rPh sb="0" eb="2">
      <t>ツイカ</t>
    </rPh>
    <rPh sb="2" eb="4">
      <t>キキ</t>
    </rPh>
    <phoneticPr fontId="2"/>
  </si>
  <si>
    <t>清水槽</t>
    <rPh sb="0" eb="2">
      <t>セイスイ</t>
    </rPh>
    <rPh sb="2" eb="3">
      <t>ソウ</t>
    </rPh>
    <phoneticPr fontId="2"/>
  </si>
  <si>
    <t>移送ポンプ</t>
    <rPh sb="0" eb="2">
      <t>イソウ</t>
    </rPh>
    <phoneticPr fontId="2"/>
  </si>
  <si>
    <t>泥水処理設備電力料</t>
    <rPh sb="6" eb="8">
      <t>デンリョク</t>
    </rPh>
    <rPh sb="8" eb="9">
      <t>リョウ</t>
    </rPh>
    <phoneticPr fontId="2"/>
  </si>
  <si>
    <t>内訳（最低供用日数を考慮しない計算）</t>
    <rPh sb="0" eb="2">
      <t>ウチワケ</t>
    </rPh>
    <rPh sb="3" eb="5">
      <t>サイテイ</t>
    </rPh>
    <rPh sb="5" eb="7">
      <t>キョウヨウ</t>
    </rPh>
    <rPh sb="7" eb="9">
      <t>ニッスウ</t>
    </rPh>
    <rPh sb="10" eb="12">
      <t>コウリョ</t>
    </rPh>
    <rPh sb="15" eb="17">
      <t>ケイサン</t>
    </rPh>
    <phoneticPr fontId="2"/>
  </si>
  <si>
    <t>Ｌ１</t>
    <phoneticPr fontId="2"/>
  </si>
  <si>
    <t>Ｌ２</t>
    <phoneticPr fontId="2"/>
  </si>
  <si>
    <t>Ｌ３</t>
    <phoneticPr fontId="2"/>
  </si>
  <si>
    <t>Ｌ４</t>
    <phoneticPr fontId="2"/>
  </si>
  <si>
    <t>Ｌ５</t>
    <phoneticPr fontId="2"/>
  </si>
  <si>
    <t>Ｌ６</t>
    <phoneticPr fontId="2"/>
  </si>
  <si>
    <t>Ｌ７</t>
    <phoneticPr fontId="2"/>
  </si>
  <si>
    <t>Ｌ８</t>
    <phoneticPr fontId="2"/>
  </si>
  <si>
    <t>Ｌ９</t>
    <phoneticPr fontId="2"/>
  </si>
  <si>
    <t>Ｌ１０</t>
    <phoneticPr fontId="2"/>
  </si>
  <si>
    <t>Ｌ１１</t>
    <phoneticPr fontId="2"/>
  </si>
  <si>
    <t>Ｌ１２</t>
    <phoneticPr fontId="2"/>
  </si>
  <si>
    <t>Ｌ１３</t>
    <phoneticPr fontId="2"/>
  </si>
  <si>
    <t>Ｌ１４</t>
    <phoneticPr fontId="2"/>
  </si>
  <si>
    <t>Ｌ１５</t>
    <phoneticPr fontId="2"/>
  </si>
  <si>
    <t>掘進機スパン別合計</t>
    <rPh sb="0" eb="3">
      <t>クッシンキ</t>
    </rPh>
    <rPh sb="6" eb="7">
      <t>ベツ</t>
    </rPh>
    <rPh sb="7" eb="8">
      <t>ゴウ</t>
    </rPh>
    <rPh sb="8" eb="9">
      <t>ケイ</t>
    </rPh>
    <phoneticPr fontId="2"/>
  </si>
  <si>
    <t>Ｃ－Ⅱ</t>
    <phoneticPr fontId="2"/>
  </si>
  <si>
    <t>Ｄ</t>
    <phoneticPr fontId="2"/>
  </si>
  <si>
    <t>Ｅ</t>
    <phoneticPr fontId="2"/>
  </si>
  <si>
    <t>Ｆ－ａ</t>
    <phoneticPr fontId="2"/>
  </si>
  <si>
    <t>Ｆ－ｂ</t>
    <phoneticPr fontId="2"/>
  </si>
  <si>
    <t>Ｆ－c</t>
    <phoneticPr fontId="2"/>
  </si>
  <si>
    <t>Ｆ－d</t>
    <phoneticPr fontId="2"/>
  </si>
  <si>
    <t>Ｆ－e</t>
    <phoneticPr fontId="2"/>
  </si>
  <si>
    <t>Ｆ－f</t>
    <phoneticPr fontId="2"/>
  </si>
  <si>
    <t>ビット費土質別合計</t>
    <rPh sb="3" eb="4">
      <t>ヒ</t>
    </rPh>
    <rPh sb="4" eb="6">
      <t>ドシツ</t>
    </rPh>
    <rPh sb="6" eb="7">
      <t>ベツ</t>
    </rPh>
    <rPh sb="7" eb="9">
      <t>ゴウケイ</t>
    </rPh>
    <phoneticPr fontId="2"/>
  </si>
  <si>
    <t>掘進機運転日、供用日</t>
    <rPh sb="0" eb="3">
      <t>クッシンキ</t>
    </rPh>
    <rPh sb="3" eb="6">
      <t>ウンテンビ</t>
    </rPh>
    <rPh sb="7" eb="9">
      <t>キョウヨウ</t>
    </rPh>
    <rPh sb="9" eb="10">
      <t>ビ</t>
    </rPh>
    <phoneticPr fontId="2"/>
  </si>
  <si>
    <t>推進</t>
    <rPh sb="0" eb="2">
      <t>スイシン</t>
    </rPh>
    <phoneticPr fontId="2"/>
  </si>
  <si>
    <t>日進量</t>
    <rPh sb="0" eb="2">
      <t>ニッシン</t>
    </rPh>
    <rPh sb="2" eb="3">
      <t>リョウ</t>
    </rPh>
    <phoneticPr fontId="2"/>
  </si>
  <si>
    <t>礫補正</t>
    <rPh sb="0" eb="1">
      <t>レキ</t>
    </rPh>
    <rPh sb="1" eb="3">
      <t>ホセイ</t>
    </rPh>
    <phoneticPr fontId="2"/>
  </si>
  <si>
    <t>補正</t>
    <rPh sb="0" eb="2">
      <t>ホセイ</t>
    </rPh>
    <phoneticPr fontId="2"/>
  </si>
  <si>
    <t>据付撤去</t>
    <rPh sb="0" eb="2">
      <t>スエツケ</t>
    </rPh>
    <rPh sb="2" eb="4">
      <t>テッキョ</t>
    </rPh>
    <phoneticPr fontId="2"/>
  </si>
  <si>
    <t>中間</t>
    <rPh sb="0" eb="2">
      <t>チュウカン</t>
    </rPh>
    <phoneticPr fontId="2"/>
  </si>
  <si>
    <t>α</t>
    <phoneticPr fontId="2"/>
  </si>
  <si>
    <t>礫補正係数</t>
    <rPh sb="0" eb="1">
      <t>レキ</t>
    </rPh>
    <rPh sb="1" eb="3">
      <t>ホセイ</t>
    </rPh>
    <rPh sb="3" eb="5">
      <t>ケイスウ</t>
    </rPh>
    <phoneticPr fontId="2"/>
  </si>
  <si>
    <t>延長</t>
    <rPh sb="0" eb="2">
      <t>エンチョウ</t>
    </rPh>
    <phoneticPr fontId="2"/>
  </si>
  <si>
    <t>係数</t>
    <rPh sb="0" eb="2">
      <t>ケイスウ</t>
    </rPh>
    <phoneticPr fontId="2"/>
  </si>
  <si>
    <t>撤去</t>
    <rPh sb="0" eb="2">
      <t>テッキョ</t>
    </rPh>
    <phoneticPr fontId="2"/>
  </si>
  <si>
    <t>整備</t>
    <rPh sb="0" eb="2">
      <t>セイビ</t>
    </rPh>
    <phoneticPr fontId="2"/>
  </si>
  <si>
    <t>～105</t>
    <phoneticPr fontId="2"/>
  </si>
  <si>
    <t>～120</t>
    <phoneticPr fontId="2"/>
  </si>
  <si>
    <t>～135</t>
    <phoneticPr fontId="2"/>
  </si>
  <si>
    <t>～150</t>
    <phoneticPr fontId="2"/>
  </si>
  <si>
    <t>～175</t>
    <phoneticPr fontId="2"/>
  </si>
  <si>
    <t>～200</t>
    <phoneticPr fontId="2"/>
  </si>
  <si>
    <t>～225</t>
    <phoneticPr fontId="2"/>
  </si>
  <si>
    <t>～250</t>
    <phoneticPr fontId="2"/>
  </si>
  <si>
    <t>～300</t>
    <phoneticPr fontId="2"/>
  </si>
  <si>
    <t>～350</t>
    <phoneticPr fontId="2"/>
  </si>
  <si>
    <t>～480</t>
    <phoneticPr fontId="2"/>
  </si>
  <si>
    <t>～560</t>
    <phoneticPr fontId="2"/>
  </si>
  <si>
    <t>---</t>
    <phoneticPr fontId="2"/>
  </si>
  <si>
    <t>標準日進量</t>
    <rPh sb="0" eb="2">
      <t>ヒョウジュン</t>
    </rPh>
    <rPh sb="2" eb="4">
      <t>ニッシン</t>
    </rPh>
    <rPh sb="4" eb="5">
      <t>リョウ</t>
    </rPh>
    <phoneticPr fontId="2"/>
  </si>
  <si>
    <t>Ｃ</t>
    <phoneticPr fontId="2"/>
  </si>
  <si>
    <t>Ｅ、Ｆａ</t>
    <phoneticPr fontId="2"/>
  </si>
  <si>
    <t>Ｆｂ</t>
    <phoneticPr fontId="2"/>
  </si>
  <si>
    <t>Ｆc</t>
    <phoneticPr fontId="2"/>
  </si>
  <si>
    <t>Ｆd</t>
    <phoneticPr fontId="2"/>
  </si>
  <si>
    <t>Ｆe</t>
    <phoneticPr fontId="2"/>
  </si>
  <si>
    <t>Ｆf</t>
    <phoneticPr fontId="2"/>
  </si>
  <si>
    <t>半管</t>
    <rPh sb="0" eb="1">
      <t>ハン</t>
    </rPh>
    <rPh sb="1" eb="2">
      <t>カン</t>
    </rPh>
    <phoneticPr fontId="2"/>
  </si>
  <si>
    <t>付帯装置供用日</t>
    <rPh sb="0" eb="2">
      <t>フタイ</t>
    </rPh>
    <rPh sb="2" eb="4">
      <t>ソウチ</t>
    </rPh>
    <rPh sb="4" eb="6">
      <t>キョウヨウ</t>
    </rPh>
    <rPh sb="6" eb="7">
      <t>ビ</t>
    </rPh>
    <phoneticPr fontId="2"/>
  </si>
  <si>
    <t>発進</t>
    <rPh sb="0" eb="2">
      <t>ハッシン</t>
    </rPh>
    <phoneticPr fontId="2"/>
  </si>
  <si>
    <t>到達</t>
    <rPh sb="0" eb="2">
      <t>トウタツ</t>
    </rPh>
    <phoneticPr fontId="2"/>
  </si>
  <si>
    <t>準備工</t>
    <rPh sb="0" eb="2">
      <t>ジュンビ</t>
    </rPh>
    <rPh sb="2" eb="3">
      <t>コウ</t>
    </rPh>
    <phoneticPr fontId="2"/>
  </si>
  <si>
    <t>撤去工</t>
    <rPh sb="0" eb="2">
      <t>テッキョ</t>
    </rPh>
    <rPh sb="2" eb="3">
      <t>コウ</t>
    </rPh>
    <phoneticPr fontId="2"/>
  </si>
  <si>
    <t>使用日進量</t>
    <rPh sb="0" eb="2">
      <t>シヨウ</t>
    </rPh>
    <rPh sb="2" eb="4">
      <t>ニッシン</t>
    </rPh>
    <rPh sb="4" eb="5">
      <t>リョウ</t>
    </rPh>
    <phoneticPr fontId="2"/>
  </si>
  <si>
    <t xml:space="preserve">   </t>
    <phoneticPr fontId="2"/>
  </si>
  <si>
    <t>掘進機損料</t>
    <rPh sb="0" eb="3">
      <t>クッシンキ</t>
    </rPh>
    <rPh sb="3" eb="5">
      <t>ソンリョウ</t>
    </rPh>
    <phoneticPr fontId="2"/>
  </si>
  <si>
    <t>Ａ</t>
    <phoneticPr fontId="2"/>
  </si>
  <si>
    <t>Ｂ，Ｃ－１</t>
    <phoneticPr fontId="2"/>
  </si>
  <si>
    <t>Ｅ，Ｆ－ａ</t>
    <phoneticPr fontId="2"/>
  </si>
  <si>
    <t>基礎価格</t>
    <rPh sb="0" eb="2">
      <t>キソ</t>
    </rPh>
    <rPh sb="2" eb="4">
      <t>カカク</t>
    </rPh>
    <phoneticPr fontId="2"/>
  </si>
  <si>
    <r>
      <t>損料率（×10</t>
    </r>
    <r>
      <rPr>
        <vertAlign val="superscript"/>
        <sz val="9"/>
        <rFont val="ＭＳ Ｐゴシック"/>
        <family val="3"/>
        <charset val="128"/>
      </rPr>
      <t>-６</t>
    </r>
    <r>
      <rPr>
        <sz val="9"/>
        <rFont val="ＭＳ Ｐゴシック"/>
        <family val="3"/>
        <charset val="128"/>
      </rPr>
      <t>）</t>
    </r>
    <rPh sb="0" eb="2">
      <t>ソンリョウ</t>
    </rPh>
    <rPh sb="2" eb="3">
      <t>リツ</t>
    </rPh>
    <phoneticPr fontId="2"/>
  </si>
  <si>
    <t>Fｃ</t>
    <phoneticPr fontId="2"/>
  </si>
  <si>
    <t>Fｄ</t>
    <phoneticPr fontId="2"/>
  </si>
  <si>
    <t>Fｅ</t>
    <phoneticPr fontId="2"/>
  </si>
  <si>
    <t>Fｆ</t>
    <phoneticPr fontId="2"/>
  </si>
  <si>
    <t>ビット損料</t>
    <rPh sb="3" eb="5">
      <t>ソンリョウ</t>
    </rPh>
    <phoneticPr fontId="2"/>
  </si>
  <si>
    <t>Ｃ－２</t>
    <phoneticPr fontId="2"/>
  </si>
  <si>
    <t>摩耗距離</t>
    <rPh sb="0" eb="2">
      <t>マモウ</t>
    </rPh>
    <rPh sb="2" eb="4">
      <t>キョリ</t>
    </rPh>
    <phoneticPr fontId="2"/>
  </si>
  <si>
    <t>ｍ損料</t>
    <rPh sb="1" eb="3">
      <t>ソンリョウ</t>
    </rPh>
    <phoneticPr fontId="2"/>
  </si>
  <si>
    <t>土質別m当りビット費</t>
    <rPh sb="0" eb="2">
      <t>ドシツ</t>
    </rPh>
    <rPh sb="2" eb="3">
      <t>ベツ</t>
    </rPh>
    <rPh sb="4" eb="5">
      <t>アタ</t>
    </rPh>
    <rPh sb="9" eb="10">
      <t>ヒ</t>
    </rPh>
    <phoneticPr fontId="2"/>
  </si>
  <si>
    <t>土質区分条件</t>
    <rPh sb="0" eb="2">
      <t>ドシツ</t>
    </rPh>
    <rPh sb="2" eb="4">
      <t>クブン</t>
    </rPh>
    <rPh sb="4" eb="6">
      <t>ジョウケン</t>
    </rPh>
    <phoneticPr fontId="2"/>
  </si>
  <si>
    <t>区分記号</t>
    <rPh sb="0" eb="2">
      <t>クブン</t>
    </rPh>
    <rPh sb="2" eb="4">
      <t>キゴウ</t>
    </rPh>
    <phoneticPr fontId="2"/>
  </si>
  <si>
    <t>スパン別土質区分及び推進延長</t>
    <rPh sb="3" eb="4">
      <t>ベツ</t>
    </rPh>
    <rPh sb="4" eb="6">
      <t>ドシツ</t>
    </rPh>
    <rPh sb="6" eb="8">
      <t>クブン</t>
    </rPh>
    <rPh sb="8" eb="9">
      <t>オヨ</t>
    </rPh>
    <rPh sb="10" eb="12">
      <t>スイシン</t>
    </rPh>
    <rPh sb="12" eb="14">
      <t>エンチョウ</t>
    </rPh>
    <phoneticPr fontId="2"/>
  </si>
  <si>
    <t>土質区分</t>
    <rPh sb="0" eb="2">
      <t>ドシツ</t>
    </rPh>
    <rPh sb="2" eb="4">
      <t>クブン</t>
    </rPh>
    <phoneticPr fontId="2"/>
  </si>
  <si>
    <t>推進延長</t>
    <rPh sb="0" eb="2">
      <t>スイシン</t>
    </rPh>
    <rPh sb="2" eb="4">
      <t>エンチョウ</t>
    </rPh>
    <phoneticPr fontId="2"/>
  </si>
  <si>
    <t>L3</t>
    <phoneticPr fontId="2"/>
  </si>
  <si>
    <t>L4</t>
    <phoneticPr fontId="2"/>
  </si>
  <si>
    <t>L5</t>
    <phoneticPr fontId="2"/>
  </si>
  <si>
    <t>L6</t>
    <phoneticPr fontId="2"/>
  </si>
  <si>
    <t>土質別推進延長</t>
    <rPh sb="0" eb="2">
      <t>ドシツ</t>
    </rPh>
    <rPh sb="2" eb="3">
      <t>ベツ</t>
    </rPh>
    <rPh sb="3" eb="5">
      <t>スイシン</t>
    </rPh>
    <rPh sb="5" eb="7">
      <t>エンチョウ</t>
    </rPh>
    <phoneticPr fontId="2"/>
  </si>
  <si>
    <t>L7</t>
    <phoneticPr fontId="2"/>
  </si>
  <si>
    <t>L8</t>
    <phoneticPr fontId="2"/>
  </si>
  <si>
    <t>L9</t>
    <phoneticPr fontId="2"/>
  </si>
  <si>
    <t>L10</t>
    <phoneticPr fontId="2"/>
  </si>
  <si>
    <t>その他価格（機器単価）</t>
    <rPh sb="2" eb="3">
      <t>タ</t>
    </rPh>
    <rPh sb="3" eb="5">
      <t>カカク</t>
    </rPh>
    <rPh sb="6" eb="8">
      <t>キキ</t>
    </rPh>
    <rPh sb="8" eb="10">
      <t>タンカ</t>
    </rPh>
    <phoneticPr fontId="2"/>
  </si>
  <si>
    <t>項   目</t>
  </si>
  <si>
    <t>単価</t>
    <rPh sb="0" eb="2">
      <t>タンカ</t>
    </rPh>
    <phoneticPr fontId="2"/>
  </si>
  <si>
    <t>クレーン4.8～4.9t</t>
  </si>
  <si>
    <t>潜水ポンプ損料</t>
  </si>
  <si>
    <t>クレーン10～11t</t>
  </si>
  <si>
    <t>溶接機損料</t>
  </si>
  <si>
    <t>クレーン15～16t</t>
  </si>
  <si>
    <t>発動発電機損料</t>
  </si>
  <si>
    <t>クレーン20～22t</t>
  </si>
  <si>
    <t>マッドオイル</t>
  </si>
  <si>
    <t>クレーン25t</t>
  </si>
  <si>
    <t>ハイゲル</t>
  </si>
  <si>
    <t>クレーン35～36t</t>
  </si>
  <si>
    <t>粉末粘土</t>
  </si>
  <si>
    <t>鋼   材（H-200）</t>
  </si>
  <si>
    <t>クレーン40～45t</t>
  </si>
  <si>
    <t>ベントナイト</t>
  </si>
  <si>
    <t>松原板(1枚）</t>
  </si>
  <si>
    <t>クレーン80t</t>
  </si>
  <si>
    <t>フライアッシュ</t>
  </si>
  <si>
    <t>床板材(m3)</t>
  </si>
  <si>
    <t>クレーン120t</t>
  </si>
  <si>
    <t>セメント</t>
  </si>
  <si>
    <t>溶接棒</t>
  </si>
  <si>
    <t>クレーン160t</t>
  </si>
  <si>
    <t>コンクリート</t>
  </si>
  <si>
    <t>酸   素</t>
  </si>
  <si>
    <t>ダンプトラック2t</t>
  </si>
  <si>
    <t>微砂</t>
  </si>
  <si>
    <t>アセチレン</t>
  </si>
  <si>
    <t>ダンプトラック4t</t>
  </si>
  <si>
    <t>分散剤</t>
  </si>
  <si>
    <t>軽   油</t>
  </si>
  <si>
    <t>ダンプトラック6t</t>
  </si>
  <si>
    <t>増粘剤</t>
  </si>
  <si>
    <t>電力料</t>
  </si>
  <si>
    <t>ダンプトラック8t</t>
  </si>
  <si>
    <t>逸泥防止剤</t>
  </si>
  <si>
    <t>試運転調整費</t>
  </si>
  <si>
    <t>ダンプトラック11t</t>
  </si>
  <si>
    <t>水</t>
  </si>
  <si>
    <t>立会検査費</t>
  </si>
  <si>
    <t>バキューム車3.1～3.5t</t>
  </si>
  <si>
    <t>現地試運転費</t>
  </si>
  <si>
    <t>バキューム車8t</t>
  </si>
  <si>
    <t>機械電機点検費</t>
  </si>
  <si>
    <t>塗装及び文字書</t>
  </si>
  <si>
    <t>【物質収支計算】</t>
  </si>
  <si>
    <t>【１．計画条件 】</t>
  </si>
  <si>
    <t>呼び径</t>
  </si>
  <si>
    <t>:</t>
  </si>
  <si>
    <t>φ</t>
  </si>
  <si>
    <t>ｍｍ</t>
  </si>
  <si>
    <t>総推進延長</t>
  </si>
  <si>
    <t>L</t>
  </si>
  <si>
    <r>
      <t>1SP</t>
    </r>
    <r>
      <rPr>
        <sz val="10"/>
        <rFont val="ＭＳ Ｐ明朝"/>
        <family val="1"/>
        <charset val="128"/>
      </rPr>
      <t>最大推進延長</t>
    </r>
  </si>
  <si>
    <t>Lm</t>
  </si>
  <si>
    <t>スパン数</t>
  </si>
  <si>
    <t>ｎ</t>
  </si>
  <si>
    <t>処理方式</t>
  </si>
  <si>
    <t>一次処理</t>
  </si>
  <si>
    <t>【２．施工条件 】</t>
  </si>
  <si>
    <t>掘進機外径</t>
  </si>
  <si>
    <t>Ds</t>
  </si>
  <si>
    <t>掘削断面積</t>
  </si>
  <si>
    <r>
      <t>ｍ</t>
    </r>
    <r>
      <rPr>
        <vertAlign val="superscript"/>
        <sz val="11"/>
        <rFont val="ＭＳ Ｐ明朝"/>
        <family val="1"/>
        <charset val="128"/>
      </rPr>
      <t>2</t>
    </r>
  </si>
  <si>
    <t>掘削容量</t>
  </si>
  <si>
    <t>V2</t>
  </si>
  <si>
    <r>
      <t>ｍ</t>
    </r>
    <r>
      <rPr>
        <vertAlign val="superscript"/>
        <sz val="11"/>
        <rFont val="ＭＳ Ｐ明朝"/>
        <family val="1"/>
        <charset val="128"/>
      </rPr>
      <t>3</t>
    </r>
    <r>
      <rPr>
        <sz val="11"/>
        <rFont val="ＭＳ Ｐ明朝"/>
        <family val="1"/>
        <charset val="128"/>
      </rPr>
      <t>/本</t>
    </r>
  </si>
  <si>
    <t>推進管長さ</t>
  </si>
  <si>
    <t>Lh</t>
  </si>
  <si>
    <t>ｍ/本</t>
  </si>
  <si>
    <t>掘進速度</t>
  </si>
  <si>
    <t>Vs</t>
  </si>
  <si>
    <t>㎝/分</t>
  </si>
  <si>
    <t>推進時間</t>
  </si>
  <si>
    <t>Ts</t>
  </si>
  <si>
    <t>min/本</t>
  </si>
  <si>
    <t>実稼動時間</t>
  </si>
  <si>
    <t>T</t>
  </si>
  <si>
    <t>hr/day</t>
  </si>
  <si>
    <t>A</t>
  </si>
  <si>
    <t>B</t>
  </si>
  <si>
    <t>C</t>
  </si>
  <si>
    <t>D ･ E</t>
  </si>
  <si>
    <t>一日施工本数</t>
  </si>
  <si>
    <t>本/day</t>
  </si>
  <si>
    <t>送泥流量</t>
  </si>
  <si>
    <t>Q1</t>
  </si>
  <si>
    <t>F-a</t>
  </si>
  <si>
    <t>F-b</t>
  </si>
  <si>
    <t>F-c</t>
  </si>
  <si>
    <t>F-d</t>
  </si>
  <si>
    <t>F-e</t>
  </si>
  <si>
    <t>F-f</t>
  </si>
  <si>
    <t>排泥流量</t>
  </si>
  <si>
    <t>Q2</t>
  </si>
  <si>
    <r>
      <t>ｍ</t>
    </r>
    <r>
      <rPr>
        <vertAlign val="superscript"/>
        <sz val="11"/>
        <rFont val="ＭＳ Ｐ明朝"/>
        <family val="1"/>
        <charset val="128"/>
      </rPr>
      <t>3</t>
    </r>
    <r>
      <rPr>
        <sz val="11"/>
        <rFont val="ＭＳ Ｐ明朝"/>
        <family val="1"/>
        <charset val="128"/>
      </rPr>
      <t>/min</t>
    </r>
  </si>
  <si>
    <t>送泥水比重</t>
  </si>
  <si>
    <t>ρ1</t>
  </si>
  <si>
    <t>排泥水比重</t>
  </si>
  <si>
    <t>ρ3</t>
  </si>
  <si>
    <t>排泥水重量濃度</t>
  </si>
  <si>
    <t>PD1</t>
  </si>
  <si>
    <t>【３．土質条件 】</t>
  </si>
  <si>
    <t>ρs</t>
  </si>
  <si>
    <t>見掛比重</t>
  </si>
  <si>
    <t>ρm</t>
  </si>
  <si>
    <t>地山の含水比</t>
  </si>
  <si>
    <t>W</t>
  </si>
  <si>
    <t>ｗｔ％</t>
  </si>
  <si>
    <t>粒度構成</t>
  </si>
  <si>
    <t>礫</t>
  </si>
  <si>
    <t>Y1</t>
  </si>
  <si>
    <t>砂</t>
  </si>
  <si>
    <t>Y2</t>
  </si>
  <si>
    <t>シルト、粘土</t>
  </si>
  <si>
    <t>Y3</t>
  </si>
  <si>
    <t>【泥水処理物質処理計算(計算書)】</t>
  </si>
  <si>
    <t>【0．貯留泥水量】</t>
  </si>
  <si>
    <t>貯留泥水量の定義…掘進するための必要貯留泥水量は、10分間に流れる流量の1.5倍とする。</t>
  </si>
  <si>
    <t>重量濃度</t>
  </si>
  <si>
    <t>PD0</t>
  </si>
  <si>
    <t>=</t>
  </si>
  <si>
    <t>{ρs*(ρ1-1)/ρ1*(ρs-1)}*100</t>
  </si>
  <si>
    <t>（wt％）</t>
  </si>
  <si>
    <t>泥水容量</t>
  </si>
  <si>
    <t>V0</t>
  </si>
  <si>
    <t>Q1*10*1.5</t>
  </si>
  <si>
    <r>
      <t>（ｍ</t>
    </r>
    <r>
      <rPr>
        <vertAlign val="superscript"/>
        <sz val="10"/>
        <rFont val="ＭＳ Ｐ明朝"/>
        <family val="1"/>
        <charset val="128"/>
      </rPr>
      <t>3</t>
    </r>
    <r>
      <rPr>
        <sz val="10"/>
        <rFont val="ＭＳ Ｐ明朝"/>
        <family val="1"/>
        <charset val="128"/>
      </rPr>
      <t>）</t>
    </r>
  </si>
  <si>
    <t>泥水重量</t>
  </si>
  <si>
    <t>W0</t>
  </si>
  <si>
    <t>V0*ρ1</t>
  </si>
  <si>
    <t>（tf）</t>
  </si>
  <si>
    <t>土粒子</t>
  </si>
  <si>
    <t>Wa0</t>
  </si>
  <si>
    <t>W0*PD0 / 100</t>
  </si>
  <si>
    <t>Va0</t>
  </si>
  <si>
    <t>Wa0/ρs</t>
  </si>
  <si>
    <t>水分</t>
  </si>
  <si>
    <t>Ww0</t>
  </si>
  <si>
    <t>W0*(1-PD0/100)</t>
  </si>
  <si>
    <t>Vw0</t>
  </si>
  <si>
    <t>【1．送泥水】</t>
  </si>
  <si>
    <t>送泥容量</t>
  </si>
  <si>
    <t>V1</t>
  </si>
  <si>
    <t>Q1*Lh / (Vs/100)</t>
  </si>
  <si>
    <r>
      <t>（ｍ</t>
    </r>
    <r>
      <rPr>
        <vertAlign val="superscript"/>
        <sz val="10"/>
        <rFont val="ＭＳ Ｐ明朝"/>
        <family val="1"/>
        <charset val="128"/>
      </rPr>
      <t>3</t>
    </r>
    <r>
      <rPr>
        <sz val="10"/>
        <rFont val="ＭＳ Ｐ明朝"/>
        <family val="1"/>
        <charset val="128"/>
      </rPr>
      <t>/本）</t>
    </r>
  </si>
  <si>
    <t>送泥重量</t>
  </si>
  <si>
    <t>W1</t>
  </si>
  <si>
    <t>V1*ρ1</t>
  </si>
  <si>
    <t>（tf/本）</t>
  </si>
  <si>
    <t>Wa1</t>
  </si>
  <si>
    <t>(W1*PD1) / 100</t>
  </si>
  <si>
    <t>Va1</t>
  </si>
  <si>
    <t>Wa1/ρs</t>
  </si>
  <si>
    <t>Ww1</t>
  </si>
  <si>
    <t>W1*(1-PD1/100)</t>
  </si>
  <si>
    <t>Vw1</t>
  </si>
  <si>
    <t>【２．掘削地山】</t>
  </si>
  <si>
    <t>（％）</t>
  </si>
  <si>
    <t>レキ</t>
  </si>
  <si>
    <t>シルト粘土</t>
  </si>
  <si>
    <t>ρs*(W/100+1)/ρs*W/100+1</t>
  </si>
  <si>
    <t>π/4*(Ds)2*Lh</t>
  </si>
  <si>
    <t>掘削重量</t>
  </si>
  <si>
    <t>W2</t>
  </si>
  <si>
    <t>V2*ρm</t>
  </si>
  <si>
    <t>Wa2</t>
  </si>
  <si>
    <t>W2/(1+W/100)</t>
  </si>
  <si>
    <t>Va2</t>
  </si>
  <si>
    <t>Wa2/ρs</t>
  </si>
  <si>
    <t>Ww2</t>
  </si>
  <si>
    <t>{ (W/100) / (1+W/100) } *W2</t>
  </si>
  <si>
    <t>Vw2</t>
  </si>
  <si>
    <t>Wr2</t>
  </si>
  <si>
    <t>Wa2*Y1/100</t>
  </si>
  <si>
    <t>Vr2</t>
  </si>
  <si>
    <t>Wr2/ρs</t>
  </si>
  <si>
    <t>Ws2</t>
  </si>
  <si>
    <t>Wa2*Y2/100</t>
  </si>
  <si>
    <t>Vs2</t>
  </si>
  <si>
    <t>Ws2/ρs</t>
  </si>
  <si>
    <t>Wc2</t>
  </si>
  <si>
    <t>Wa2*Y3/100</t>
  </si>
  <si>
    <t>Vc2</t>
  </si>
  <si>
    <t>Wc2/ρs</t>
  </si>
  <si>
    <t>Wr2+Ws2+Wc2</t>
  </si>
  <si>
    <t>Vr2+Vs2+Vc2</t>
  </si>
  <si>
    <t>【３．排泥水】</t>
  </si>
  <si>
    <t>Wr3</t>
  </si>
  <si>
    <t>Vr3</t>
  </si>
  <si>
    <t>Wr3/ρs</t>
  </si>
  <si>
    <t>Ws3</t>
  </si>
  <si>
    <t>Vs3</t>
  </si>
  <si>
    <t>Ws3/ρs</t>
  </si>
  <si>
    <t>Wc3</t>
  </si>
  <si>
    <t>Wa1+Wc2</t>
  </si>
  <si>
    <t>Vc3</t>
  </si>
  <si>
    <t>Va1+Vc2</t>
  </si>
  <si>
    <t>Wa3</t>
  </si>
  <si>
    <t>Wa1+Wa2</t>
  </si>
  <si>
    <t>Va3</t>
  </si>
  <si>
    <t>Va1+Va2</t>
  </si>
  <si>
    <t>Ww3</t>
  </si>
  <si>
    <t>Ww1+Ww2</t>
  </si>
  <si>
    <t>Vw3</t>
  </si>
  <si>
    <t>Vw1+Vw2</t>
  </si>
  <si>
    <t>合計</t>
  </si>
  <si>
    <t>W3</t>
  </si>
  <si>
    <t>Wa3+Ww3</t>
  </si>
  <si>
    <t>V3</t>
  </si>
  <si>
    <t>Va3+Vw3</t>
  </si>
  <si>
    <t>液比重</t>
  </si>
  <si>
    <t>W3/V3</t>
  </si>
  <si>
    <t>PD3</t>
  </si>
  <si>
    <t>Wa3/W3*100</t>
  </si>
  <si>
    <t>【４．一次分離】</t>
  </si>
  <si>
    <t>≪ 計算上の仮定≫</t>
  </si>
  <si>
    <t>＊</t>
  </si>
  <si>
    <t>レキ、砂の回収率は１００％とする。</t>
  </si>
  <si>
    <t>回収された礫には１０wt％、砂には４０wt％に相当する泥水が付着しているものとし、</t>
  </si>
  <si>
    <t>付着泥水中のシルト粘土を回収シルト粘土とする。</t>
  </si>
  <si>
    <t>同上付着泥水中の水分を回収水分とする。</t>
  </si>
  <si>
    <t>Wr4</t>
  </si>
  <si>
    <t>Vr4</t>
  </si>
  <si>
    <t>Wr4/ρs</t>
  </si>
  <si>
    <t>Ws4</t>
  </si>
  <si>
    <t>Vs4</t>
  </si>
  <si>
    <t>Ws4/ρs</t>
  </si>
  <si>
    <t>シルト・粘土</t>
  </si>
  <si>
    <t>Wc4</t>
  </si>
  <si>
    <t>(Wr4*0.1+Ws4*0.4)*Wc3/(Ww3+Wc3)</t>
  </si>
  <si>
    <t>Vc4</t>
  </si>
  <si>
    <t>Wc4/ρs</t>
  </si>
  <si>
    <t>Wa4</t>
  </si>
  <si>
    <t>Wr4+Ws4+Wc4</t>
  </si>
  <si>
    <t>Va4</t>
  </si>
  <si>
    <t>Vr4+Vs4+Vc4</t>
  </si>
  <si>
    <t>Ww4</t>
  </si>
  <si>
    <t>(Wr4*0.1+Ws4*0.4)-Wc4</t>
  </si>
  <si>
    <t>Vw4</t>
  </si>
  <si>
    <t>W4</t>
  </si>
  <si>
    <t>Wa4+Ww4</t>
  </si>
  <si>
    <t>V4</t>
  </si>
  <si>
    <t>Va4+Vw4</t>
  </si>
  <si>
    <t>Ww4/Wa4*100</t>
  </si>
  <si>
    <t>【５．オーバー泥水量】</t>
  </si>
  <si>
    <t>Wa5</t>
  </si>
  <si>
    <t>Wa3-Wa4</t>
  </si>
  <si>
    <t>Va5</t>
  </si>
  <si>
    <t>Wa5/ρs</t>
  </si>
  <si>
    <t>Ww5</t>
  </si>
  <si>
    <t>Ww3-Ww4</t>
  </si>
  <si>
    <t>Vw5</t>
  </si>
  <si>
    <t>W5</t>
  </si>
  <si>
    <t>Wa5+Ww5</t>
  </si>
  <si>
    <t>V5</t>
  </si>
  <si>
    <t>Va5+Vw5</t>
  </si>
  <si>
    <t>ρ5</t>
  </si>
  <si>
    <t>W5/V5</t>
  </si>
  <si>
    <t>PD5</t>
  </si>
  <si>
    <t>Wa5/W5*100</t>
  </si>
  <si>
    <t>【６．調整槽内】</t>
  </si>
  <si>
    <t xml:space="preserve">   比重調整後の調整槽内の土粒子及び水分の重量は、</t>
  </si>
  <si>
    <t>Wa6'</t>
  </si>
  <si>
    <t>V0*ρ1*PD0/100</t>
  </si>
  <si>
    <t>Va6'</t>
  </si>
  <si>
    <t>Wa6/ρs</t>
  </si>
  <si>
    <t>Ww6'</t>
  </si>
  <si>
    <t>V0*ρ1*(100-PD0)/100</t>
  </si>
  <si>
    <t>Vw6'</t>
  </si>
  <si>
    <t>Ww6</t>
  </si>
  <si>
    <t>となる。</t>
  </si>
  <si>
    <t xml:space="preserve">   ここで、調整槽内比重を上記の比重調整後の調整槽内泥水にオーバー泥水と送泥水の差</t>
  </si>
  <si>
    <t>〔（⑤-①）/α〕を加えたものの比重とし、それに対して比重調整を行い必要貯留泥水に等しく</t>
  </si>
  <si>
    <t>する。</t>
  </si>
  <si>
    <t>α</t>
  </si>
  <si>
    <t>V1/V0</t>
  </si>
  <si>
    <t>Wa6</t>
  </si>
  <si>
    <t>Wa6'+(Wa5-Wa1)/α</t>
  </si>
  <si>
    <t>Va6</t>
  </si>
  <si>
    <t>Ww6'+(Ww5-Ww1)/α</t>
  </si>
  <si>
    <t>Vw6</t>
  </si>
  <si>
    <t>W6</t>
  </si>
  <si>
    <t>Wa6+Ww6</t>
  </si>
  <si>
    <t>V6</t>
  </si>
  <si>
    <t>Va6+Vw6</t>
  </si>
  <si>
    <t>ρ6</t>
  </si>
  <si>
    <t>W6/V6</t>
  </si>
  <si>
    <t>PD6</t>
  </si>
  <si>
    <t>Wa6/W6*100</t>
  </si>
  <si>
    <t>【比重調整】</t>
  </si>
  <si>
    <t>【７．引抜き泥水】</t>
  </si>
  <si>
    <t>【８．余剰泥水】</t>
  </si>
  <si>
    <t>【９．比重調整泥水】</t>
  </si>
  <si>
    <t>【10．比重調整清水】</t>
  </si>
  <si>
    <t xml:space="preserve">   比重調整を行うに際しては、下記の条件を用いる。</t>
  </si>
  <si>
    <t>（ａ）</t>
  </si>
  <si>
    <t>比重調整後の容量は、比重調整容量（V6）とする</t>
  </si>
  <si>
    <t>（ｂ）</t>
  </si>
  <si>
    <t xml:space="preserve"> 比重調整後の比重は、送泥水比重（ρ1）とする。</t>
  </si>
  <si>
    <t>（ｃ）</t>
  </si>
  <si>
    <t>比重調整泥水は、比重濃度（PD9）=50wt％とする。</t>
  </si>
  <si>
    <t>従って、比重調整泥水の比重（ρ9）は、</t>
  </si>
  <si>
    <t>ρ9</t>
  </si>
  <si>
    <t>2*ρs/(ρs+1)</t>
  </si>
  <si>
    <t>以下に示す各ケースに分類して、比重調整を行うこととする。</t>
  </si>
  <si>
    <t>V1&lt;V5</t>
  </si>
  <si>
    <t>V1=V5</t>
  </si>
  <si>
    <t>V1&gt;V5</t>
  </si>
  <si>
    <t>ρ1&lt;ρ6</t>
  </si>
  <si>
    <t>Case 1</t>
  </si>
  <si>
    <t>Case 4</t>
  </si>
  <si>
    <t>Case 7</t>
  </si>
  <si>
    <t>ρ1=ρ6</t>
  </si>
  <si>
    <t>Case 2</t>
  </si>
  <si>
    <t>Case 5</t>
  </si>
  <si>
    <t>Case 8</t>
  </si>
  <si>
    <t>ρ1&gt;ρ6</t>
  </si>
  <si>
    <t>Case 3</t>
  </si>
  <si>
    <t>Case 6</t>
  </si>
  <si>
    <t>Case 9</t>
  </si>
  <si>
    <t>ここで、</t>
  </si>
  <si>
    <r>
      <t xml:space="preserve"> V1：送泥流量（m</t>
    </r>
    <r>
      <rPr>
        <vertAlign val="superscript"/>
        <sz val="11"/>
        <rFont val="ＭＳ Ｐ明朝"/>
        <family val="1"/>
        <charset val="128"/>
      </rPr>
      <t>3</t>
    </r>
    <r>
      <rPr>
        <sz val="11"/>
        <rFont val="ＭＳ Ｐ明朝"/>
        <family val="1"/>
        <charset val="128"/>
      </rPr>
      <t>/本）</t>
    </r>
  </si>
  <si>
    <r>
      <t xml:space="preserve"> V5：オーバー泥水（m</t>
    </r>
    <r>
      <rPr>
        <vertAlign val="superscript"/>
        <sz val="11"/>
        <rFont val="ＭＳ Ｐ明朝"/>
        <family val="1"/>
        <charset val="128"/>
      </rPr>
      <t>3</t>
    </r>
    <r>
      <rPr>
        <sz val="11"/>
        <rFont val="ＭＳ Ｐ明朝"/>
        <family val="1"/>
        <charset val="128"/>
      </rPr>
      <t>/本）</t>
    </r>
  </si>
  <si>
    <t>ρ1：送泥水比重</t>
  </si>
  <si>
    <t>ρ6：調整槽内比重</t>
  </si>
  <si>
    <r>
      <t>各水量（m</t>
    </r>
    <r>
      <rPr>
        <vertAlign val="superscript"/>
        <sz val="11"/>
        <rFont val="ＭＳ Ｐ明朝"/>
        <family val="1"/>
        <charset val="128"/>
      </rPr>
      <t>3</t>
    </r>
    <r>
      <rPr>
        <sz val="11"/>
        <rFont val="ＭＳ Ｐ明朝"/>
        <family val="1"/>
        <charset val="128"/>
      </rPr>
      <t>/本）を下記の変数で表す。</t>
    </r>
  </si>
  <si>
    <t>引抜き泥水</t>
  </si>
  <si>
    <t>a</t>
  </si>
  <si>
    <t>余剰泥水</t>
  </si>
  <si>
    <t>b</t>
  </si>
  <si>
    <t>比重調整泥水</t>
  </si>
  <si>
    <t>c</t>
  </si>
  <si>
    <t>比重調整清水</t>
  </si>
  <si>
    <t>d</t>
  </si>
  <si>
    <t>よって、</t>
  </si>
  <si>
    <t>より</t>
  </si>
  <si>
    <t>となり</t>
  </si>
  <si>
    <t>・Case 1,4</t>
  </si>
  <si>
    <t>各水量を１本当り水量に換算する。</t>
  </si>
  <si>
    <t xml:space="preserve">  調整槽内比重（ρ6）が送泥水比重（ρ1）より重いため清水による比重調整を行う。</t>
  </si>
  <si>
    <t xml:space="preserve">  ここで、引抜き泥水量及び比重調整清水量を z とすると、</t>
  </si>
  <si>
    <t>：  ａ</t>
  </si>
  <si>
    <t>ａ’* α</t>
  </si>
  <si>
    <t>：  ｂ</t>
  </si>
  <si>
    <t>ｂ’</t>
  </si>
  <si>
    <t>( V0 - z ) * ρ6 + z * ρ0 = V0 * ρ1</t>
  </si>
  <si>
    <t>：  ｃ</t>
  </si>
  <si>
    <t>ｃ’* α</t>
  </si>
  <si>
    <t>：  ｄ</t>
  </si>
  <si>
    <t>ｄ’* α</t>
  </si>
  <si>
    <t>∴ z = (ρ1 -ρ6 ) * V0 / (ρ0 -ρ6 )</t>
  </si>
  <si>
    <t>： ａ’</t>
  </si>
  <si>
    <t>z</t>
  </si>
  <si>
    <t>： ｂ’</t>
  </si>
  <si>
    <t>V5-V1</t>
  </si>
  <si>
    <t>Wa7</t>
  </si>
  <si>
    <t>Va7*ρs</t>
  </si>
  <si>
    <t>： ｃ’</t>
  </si>
  <si>
    <t>0.0</t>
  </si>
  <si>
    <t>Va7</t>
  </si>
  <si>
    <t>a*ρ6*PD6/ρs/100</t>
  </si>
  <si>
    <t>： ｄ’</t>
  </si>
  <si>
    <t>Ww7</t>
  </si>
  <si>
    <t>Vw7</t>
  </si>
  <si>
    <t>・Case 2,5</t>
  </si>
  <si>
    <t>a-Va7</t>
  </si>
  <si>
    <t xml:space="preserve">  調整槽内比重（ρ6）と送泥水比重（ρ1）が等しいため比重調整は行わない。</t>
  </si>
  <si>
    <t>W7</t>
  </si>
  <si>
    <t>Wa7+Ww7</t>
  </si>
  <si>
    <t>：  ａ’</t>
  </si>
  <si>
    <t>V7</t>
  </si>
  <si>
    <t>Va7+Vw7</t>
  </si>
  <si>
    <t>：  ｂ’</t>
  </si>
  <si>
    <t>：  ｃ’</t>
  </si>
  <si>
    <t>：  ｄ’</t>
  </si>
  <si>
    <t>Wa8</t>
  </si>
  <si>
    <t>Va6*ρs</t>
  </si>
  <si>
    <t>・Case 3,6</t>
  </si>
  <si>
    <t>Va8</t>
  </si>
  <si>
    <t>b*ρ6*PD6/ρs/100</t>
  </si>
  <si>
    <t xml:space="preserve">  調整槽内比重（ρ6）が送泥水比重（ρ1）より軽いため泥水による比重調整を行う。</t>
  </si>
  <si>
    <t xml:space="preserve">  ここで、引抜き泥水量及び比重調整泥水量を z とすると、</t>
  </si>
  <si>
    <t>Ww8</t>
  </si>
  <si>
    <t>Vw8</t>
  </si>
  <si>
    <t>b-Va8</t>
  </si>
  <si>
    <t>( V0 - z ) * ρ6 + z * ρ9 = V0 * ρ1</t>
  </si>
  <si>
    <t>W8</t>
  </si>
  <si>
    <t>Wa8+Ww8</t>
  </si>
  <si>
    <t>∴ z = (ρ1 -ρ6 ) * V0 / (ρ9 -ρ6 )</t>
  </si>
  <si>
    <t>V8</t>
  </si>
  <si>
    <t>Va8+VW8</t>
  </si>
  <si>
    <t>Wa9</t>
  </si>
  <si>
    <t>Va9*ρs</t>
  </si>
  <si>
    <t>Va9</t>
  </si>
  <si>
    <t>c*ρ9*PD6/ρs/100</t>
  </si>
  <si>
    <t>（ｍ3/本）</t>
  </si>
  <si>
    <t>・Case 7</t>
  </si>
  <si>
    <t>Ww9</t>
  </si>
  <si>
    <t>Vw9</t>
  </si>
  <si>
    <t>c-Va9</t>
  </si>
  <si>
    <t xml:space="preserve">  ここで、引抜き泥水量を z とし、（送泥流量（V1）-オーバー泥水（V5））/αを y とすると、</t>
  </si>
  <si>
    <t>W9</t>
  </si>
  <si>
    <t>Wa9+Ww9</t>
  </si>
  <si>
    <t>（比重調整清水量 = z + y ）</t>
  </si>
  <si>
    <t>V9</t>
  </si>
  <si>
    <t>Va9+Vw9</t>
  </si>
  <si>
    <t>( V0 - z - y ) * ρ6 + ( z + y ) * ρ0 = V0 * ρ1</t>
  </si>
  <si>
    <t>∴ z = ｛(ρ1 -ρ6 ) * V0 + (ρ6 -ρ0 ) * y ｝ / (ρ0 -ρ6 )</t>
  </si>
  <si>
    <t>W10</t>
  </si>
  <si>
    <t>V10</t>
  </si>
  <si>
    <t>z ≧ 0.0 ならば、</t>
  </si>
  <si>
    <t>【11．処理泥水】</t>
  </si>
  <si>
    <t>Wa11</t>
  </si>
  <si>
    <t>Wa7+Wa8</t>
  </si>
  <si>
    <t>Va11</t>
  </si>
  <si>
    <t>Va7+Va8</t>
  </si>
  <si>
    <t>z + y</t>
  </si>
  <si>
    <t>Ww11</t>
  </si>
  <si>
    <t>Ww7+Ww8</t>
  </si>
  <si>
    <t xml:space="preserve">   z &lt; 0.0 ならば、引抜き泥水量が負となるため清水のみによる比重調整では条件を満足出来ない</t>
  </si>
  <si>
    <t>Vw11</t>
  </si>
  <si>
    <t>Vw7+Vw8</t>
  </si>
  <si>
    <t>ので、清水及び泥水による比重調整を行う。（Case 8,9）</t>
  </si>
  <si>
    <t>W11</t>
  </si>
  <si>
    <t>Wa11+Ww11</t>
  </si>
  <si>
    <t>・Case 8,9</t>
  </si>
  <si>
    <t>V11</t>
  </si>
  <si>
    <t>Va11+Vw11</t>
  </si>
  <si>
    <t xml:space="preserve">  泥水及び清水による比重調整を行う。</t>
  </si>
  <si>
    <t>【12．清水補給】</t>
  </si>
  <si>
    <t xml:space="preserve">  ここで、比重調整泥水を x とし、（送泥流量（V1）-オーバー泥水（V5））/αを y とすると、</t>
  </si>
  <si>
    <t>W12</t>
  </si>
  <si>
    <t>Ww9+W10</t>
  </si>
  <si>
    <t>（t/本）</t>
  </si>
  <si>
    <t>（比重調整清水量 = y - x ）</t>
  </si>
  <si>
    <t>V12</t>
  </si>
  <si>
    <t>( V0 - y ) * ρ6 + x * ρ9 + ( y - x ) * ρ0 = V0 * ρ1</t>
  </si>
  <si>
    <t>【13．ＣＭＣ補給量】</t>
  </si>
  <si>
    <t>∴ x = ｛(ρ1 -ρ6 ) * V0 + (ρ6 -ρ0 ) * y ｝ / (ρ9 -ρ0 )</t>
  </si>
  <si>
    <t>ＣＭＣ添加量は粗粒分含有率にて決定する。</t>
  </si>
  <si>
    <t>x ≦ y ならば、</t>
  </si>
  <si>
    <t>粗粒分含有率</t>
  </si>
  <si>
    <t>50％以下</t>
  </si>
  <si>
    <t>60％以下</t>
  </si>
  <si>
    <t>80％以下</t>
  </si>
  <si>
    <t>100％以下</t>
  </si>
  <si>
    <t>CMC添加量(C13)</t>
  </si>
  <si>
    <t>1.0</t>
  </si>
  <si>
    <t>2.0</t>
  </si>
  <si>
    <t>Ws2/Wa2*100</t>
  </si>
  <si>
    <t>x</t>
  </si>
  <si>
    <t>ＣＭＣ添加量</t>
  </si>
  <si>
    <t>C13</t>
  </si>
  <si>
    <t>y - x</t>
  </si>
  <si>
    <t>ＣＭＣ補給量</t>
  </si>
  <si>
    <t>V0*C13*Ww4/(Ww0+Ww2)</t>
  </si>
  <si>
    <t>（kg/本）</t>
  </si>
  <si>
    <t>x &gt; y ならば、泥水のみによる比重調整を行う。</t>
  </si>
  <si>
    <t>【残土処分量・泥水処分量】</t>
  </si>
  <si>
    <t xml:space="preserve">  ここで、比重調整泥水を z とし、（送泥流量（V1）-オーバー泥水（V5））/αを y とすると、</t>
  </si>
  <si>
    <t>【14．バランスシート】</t>
  </si>
  <si>
    <t>1:送泥水</t>
  </si>
  <si>
    <r>
      <t>0:貯留泥水</t>
    </r>
    <r>
      <rPr>
        <sz val="10"/>
        <rFont val="ＭＳ Ｐ明朝"/>
        <family val="1"/>
        <charset val="128"/>
      </rPr>
      <t>（調整槽）</t>
    </r>
  </si>
  <si>
    <t>( V0 - z - y ) * ρ6 + ( z + y ) * ρ9 = V0 * ρ1</t>
  </si>
  <si>
    <t>tf /本</t>
  </si>
  <si>
    <t>∴ z = ｛(ρ1 -ρ6 ) * V0 + (ρ6 -ρ9 ) * y ｝ / (ρ9 -ρ6 )</t>
  </si>
  <si>
    <t>3:排泥水</t>
  </si>
  <si>
    <t>2:掘削地山</t>
  </si>
  <si>
    <t>含水比(％)</t>
  </si>
  <si>
    <t>5:オーバー泥水</t>
  </si>
  <si>
    <t>4:一次分離</t>
  </si>
  <si>
    <t>6:調整槽内</t>
  </si>
  <si>
    <t>9:比重調整泥水</t>
  </si>
  <si>
    <t>12:清水補給</t>
  </si>
  <si>
    <t>7:引抜き泥水</t>
  </si>
  <si>
    <t>8:余剰泥水</t>
  </si>
  <si>
    <t>11:処理泥水</t>
  </si>
  <si>
    <t>推進延長</t>
  </si>
  <si>
    <t>一次分離</t>
  </si>
  <si>
    <r>
      <t>ｍ</t>
    </r>
    <r>
      <rPr>
        <vertAlign val="superscript"/>
        <sz val="11"/>
        <rFont val="ＭＳ Ｐ明朝"/>
        <family val="1"/>
        <charset val="128"/>
      </rPr>
      <t>3</t>
    </r>
  </si>
  <si>
    <t>処理泥水</t>
  </si>
  <si>
    <t>13:CMC補給量</t>
  </si>
  <si>
    <t>ｋｇ/本</t>
  </si>
  <si>
    <t>（バキューム車処分）</t>
  </si>
  <si>
    <t>『入力』</t>
    <rPh sb="1" eb="3">
      <t>ニュウリョク</t>
    </rPh>
    <phoneticPr fontId="2"/>
  </si>
  <si>
    <t>管外径</t>
    <rPh sb="0" eb="1">
      <t>カン</t>
    </rPh>
    <rPh sb="1" eb="2">
      <t>ガイ</t>
    </rPh>
    <rPh sb="2" eb="3">
      <t>ケイ</t>
    </rPh>
    <phoneticPr fontId="2"/>
  </si>
  <si>
    <t>管厚</t>
    <rPh sb="0" eb="1">
      <t>カン</t>
    </rPh>
    <rPh sb="1" eb="2">
      <t>アツシ</t>
    </rPh>
    <phoneticPr fontId="2"/>
  </si>
  <si>
    <t>管重量</t>
    <rPh sb="0" eb="1">
      <t>カン</t>
    </rPh>
    <rPh sb="1" eb="3">
      <t>ジュウリョウ</t>
    </rPh>
    <phoneticPr fontId="2"/>
  </si>
  <si>
    <t>耐荷力</t>
    <rPh sb="0" eb="1">
      <t>タイ</t>
    </rPh>
    <rPh sb="1" eb="2">
      <t>カ</t>
    </rPh>
    <rPh sb="2" eb="3">
      <t>リョク</t>
    </rPh>
    <phoneticPr fontId="2"/>
  </si>
  <si>
    <t>断面積</t>
    <rPh sb="0" eb="3">
      <t>ダンメンセキ</t>
    </rPh>
    <phoneticPr fontId="2"/>
  </si>
  <si>
    <t>元押  (標準)</t>
    <rPh sb="0" eb="1">
      <t>モト</t>
    </rPh>
    <rPh sb="1" eb="2">
      <t>オシ</t>
    </rPh>
    <phoneticPr fontId="2"/>
  </si>
  <si>
    <t>Fs</t>
    <phoneticPr fontId="2"/>
  </si>
  <si>
    <t>中押  (標準)</t>
    <rPh sb="0" eb="2">
      <t>ナカオ</t>
    </rPh>
    <phoneticPr fontId="2"/>
  </si>
  <si>
    <t>機種</t>
    <rPh sb="0" eb="2">
      <t>キシュ</t>
    </rPh>
    <phoneticPr fontId="2"/>
  </si>
  <si>
    <t>【  1.DH  2. L  3.DT  4.Fs  5.Ds  】</t>
    <phoneticPr fontId="2"/>
  </si>
  <si>
    <t>DH</t>
    <phoneticPr fontId="2"/>
  </si>
  <si>
    <t>L</t>
    <phoneticPr fontId="2"/>
  </si>
  <si>
    <t>DT</t>
    <phoneticPr fontId="2"/>
  </si>
  <si>
    <t>Ds</t>
    <phoneticPr fontId="2"/>
  </si>
  <si>
    <r>
      <t>m</t>
    </r>
    <r>
      <rPr>
        <vertAlign val="superscript"/>
        <sz val="12"/>
        <rFont val="ＭＳ Ｐ明朝"/>
        <family val="1"/>
        <charset val="128"/>
      </rPr>
      <t>2</t>
    </r>
    <phoneticPr fontId="2"/>
  </si>
  <si>
    <t>仕様</t>
    <rPh sb="0" eb="2">
      <t>シヨウ</t>
    </rPh>
    <phoneticPr fontId="2"/>
  </si>
  <si>
    <t>本数</t>
    <rPh sb="0" eb="2">
      <t>ホンスウ</t>
    </rPh>
    <phoneticPr fontId="2"/>
  </si>
  <si>
    <t>掘進機外径</t>
    <rPh sb="0" eb="3">
      <t>クッシンキ</t>
    </rPh>
    <rPh sb="3" eb="4">
      <t>ガイ</t>
    </rPh>
    <rPh sb="4" eb="5">
      <t>ケイ</t>
    </rPh>
    <phoneticPr fontId="2"/>
  </si>
  <si>
    <t>Bs＝</t>
    <phoneticPr fontId="2"/>
  </si>
  <si>
    <t>管仕様</t>
    <rPh sb="0" eb="1">
      <t>カン</t>
    </rPh>
    <rPh sb="1" eb="3">
      <t>シヨウ</t>
    </rPh>
    <phoneticPr fontId="2"/>
  </si>
  <si>
    <t>【1.Ⅰ種50  2.Ⅱ種50 3.Ⅰ種70 4.Ⅱ種70 】</t>
    <rPh sb="4" eb="5">
      <t>シュ</t>
    </rPh>
    <rPh sb="12" eb="13">
      <t>シュ</t>
    </rPh>
    <rPh sb="19" eb="20">
      <t>シュ</t>
    </rPh>
    <rPh sb="26" eb="27">
      <t>シュ</t>
    </rPh>
    <phoneticPr fontId="2"/>
  </si>
  <si>
    <t>ヒューム管外径</t>
    <rPh sb="4" eb="5">
      <t>カン</t>
    </rPh>
    <rPh sb="5" eb="6">
      <t>ガイ</t>
    </rPh>
    <rPh sb="6" eb="7">
      <t>ケイ</t>
    </rPh>
    <phoneticPr fontId="2"/>
  </si>
  <si>
    <t>Bc＝</t>
    <phoneticPr fontId="2"/>
  </si>
  <si>
    <t>ヒューム管厚さ</t>
    <rPh sb="4" eb="5">
      <t>カン</t>
    </rPh>
    <rPh sb="5" eb="6">
      <t>アツ</t>
    </rPh>
    <phoneticPr fontId="2"/>
  </si>
  <si>
    <t>ｔ＝</t>
    <phoneticPr fontId="2"/>
  </si>
  <si>
    <t>ヒューム管重量</t>
    <rPh sb="4" eb="5">
      <t>カン</t>
    </rPh>
    <rPh sb="5" eb="7">
      <t>ジュウリョウ</t>
    </rPh>
    <phoneticPr fontId="2"/>
  </si>
  <si>
    <t>W'＝</t>
    <phoneticPr fontId="2"/>
  </si>
  <si>
    <t>管の単位長さ当りの重量</t>
    <rPh sb="0" eb="1">
      <t>カン</t>
    </rPh>
    <rPh sb="2" eb="4">
      <t>タンイ</t>
    </rPh>
    <rPh sb="4" eb="5">
      <t>ナガ</t>
    </rPh>
    <rPh sb="6" eb="7">
      <t>アタ</t>
    </rPh>
    <rPh sb="9" eb="11">
      <t>ジュウリョウ</t>
    </rPh>
    <phoneticPr fontId="2"/>
  </si>
  <si>
    <t>W＝</t>
    <phoneticPr fontId="2"/>
  </si>
  <si>
    <t>kN/ｍ</t>
    <phoneticPr fontId="2"/>
  </si>
  <si>
    <t>ヒューム管の耐荷力</t>
    <rPh sb="4" eb="5">
      <t>カン</t>
    </rPh>
    <rPh sb="6" eb="7">
      <t>タイ</t>
    </rPh>
    <rPh sb="7" eb="8">
      <t>カ</t>
    </rPh>
    <rPh sb="8" eb="9">
      <t>リョク</t>
    </rPh>
    <phoneticPr fontId="2"/>
  </si>
  <si>
    <t>Fa＝</t>
    <phoneticPr fontId="2"/>
  </si>
  <si>
    <t>ｋＮ</t>
    <phoneticPr fontId="2"/>
  </si>
  <si>
    <t>【  1.砂   2..礫   3.粘土  4 シルト 】</t>
    <rPh sb="5" eb="6">
      <t>スナ</t>
    </rPh>
    <rPh sb="18" eb="20">
      <t>ネンド</t>
    </rPh>
    <phoneticPr fontId="2"/>
  </si>
  <si>
    <t>Ｈ＝</t>
    <phoneticPr fontId="2"/>
  </si>
  <si>
    <t>Ｎ値</t>
    <rPh sb="1" eb="2">
      <t>チ</t>
    </rPh>
    <phoneticPr fontId="2"/>
  </si>
  <si>
    <t>元押ジャッキ</t>
    <rPh sb="0" eb="1">
      <t>モト</t>
    </rPh>
    <rPh sb="1" eb="2">
      <t>オシ</t>
    </rPh>
    <phoneticPr fontId="2"/>
  </si>
  <si>
    <t>【 1.自動入力  2.手動入力  】</t>
    <rPh sb="4" eb="6">
      <t>ジドウ</t>
    </rPh>
    <rPh sb="6" eb="8">
      <t>ニュウリョク</t>
    </rPh>
    <rPh sb="12" eb="13">
      <t>シュ</t>
    </rPh>
    <rPh sb="13" eb="14">
      <t>ドウ</t>
    </rPh>
    <rPh sb="14" eb="16">
      <t>ニュウリョク</t>
    </rPh>
    <phoneticPr fontId="2"/>
  </si>
  <si>
    <t>【推 力 計 算 書】</t>
    <rPh sb="1" eb="2">
      <t>スイ</t>
    </rPh>
    <rPh sb="3" eb="4">
      <t>チカラ</t>
    </rPh>
    <rPh sb="5" eb="6">
      <t>ケイ</t>
    </rPh>
    <rPh sb="7" eb="8">
      <t>サン</t>
    </rPh>
    <rPh sb="9" eb="10">
      <t>ショ</t>
    </rPh>
    <phoneticPr fontId="2"/>
  </si>
  <si>
    <t>【社団法人 下水道協会 修正式（Ⅱ）】</t>
    <rPh sb="1" eb="3">
      <t>シャダン</t>
    </rPh>
    <rPh sb="3" eb="5">
      <t>ホウジン</t>
    </rPh>
    <rPh sb="6" eb="9">
      <t>ゲスイドウ</t>
    </rPh>
    <rPh sb="9" eb="11">
      <t>キョウカイ</t>
    </rPh>
    <rPh sb="12" eb="14">
      <t>シュウセイ</t>
    </rPh>
    <rPh sb="14" eb="15">
      <t>シキ</t>
    </rPh>
    <phoneticPr fontId="2"/>
  </si>
  <si>
    <t>Ｆ ＝</t>
    <phoneticPr fontId="2"/>
  </si>
  <si>
    <r>
      <t xml:space="preserve"> Ｆ</t>
    </r>
    <r>
      <rPr>
        <vertAlign val="subscript"/>
        <sz val="12"/>
        <rFont val="ＭＳ Ｐ明朝"/>
        <family val="1"/>
        <charset val="128"/>
      </rPr>
      <t>0</t>
    </r>
    <r>
      <rPr>
        <sz val="12"/>
        <rFont val="ＭＳ Ｐ明朝"/>
        <family val="1"/>
        <charset val="128"/>
      </rPr>
      <t>＋f・S・Ｌ</t>
    </r>
    <phoneticPr fontId="2"/>
  </si>
  <si>
    <r>
      <t>Ｆ</t>
    </r>
    <r>
      <rPr>
        <vertAlign val="subscript"/>
        <sz val="12"/>
        <rFont val="ＭＳ Ｐ明朝"/>
        <family val="1"/>
        <charset val="128"/>
      </rPr>
      <t>0</t>
    </r>
    <r>
      <rPr>
        <sz val="12"/>
        <rFont val="ＭＳ Ｐ明朝"/>
        <family val="1"/>
        <charset val="128"/>
      </rPr>
      <t>＝</t>
    </r>
    <phoneticPr fontId="2"/>
  </si>
  <si>
    <t>ここに、</t>
    <phoneticPr fontId="2"/>
  </si>
  <si>
    <t>Ｆ ：</t>
    <phoneticPr fontId="2"/>
  </si>
  <si>
    <t>総推進力</t>
    <rPh sb="0" eb="1">
      <t>ソウ</t>
    </rPh>
    <rPh sb="1" eb="4">
      <t>スイシンリョク</t>
    </rPh>
    <phoneticPr fontId="2"/>
  </si>
  <si>
    <t>kN</t>
    <phoneticPr fontId="2"/>
  </si>
  <si>
    <r>
      <t>Ｆ</t>
    </r>
    <r>
      <rPr>
        <vertAlign val="subscript"/>
        <sz val="12"/>
        <rFont val="ＭＳ Ｐ明朝"/>
        <family val="1"/>
        <charset val="128"/>
      </rPr>
      <t>0</t>
    </r>
    <r>
      <rPr>
        <sz val="12"/>
        <rFont val="ＭＳ Ｐ明朝"/>
        <family val="1"/>
        <charset val="128"/>
      </rPr>
      <t>：</t>
    </r>
    <phoneticPr fontId="2"/>
  </si>
  <si>
    <t>先端抵抗</t>
    <rPh sb="0" eb="2">
      <t>センタン</t>
    </rPh>
    <rPh sb="2" eb="4">
      <t>テイコウ</t>
    </rPh>
    <phoneticPr fontId="2"/>
  </si>
  <si>
    <r>
      <t xml:space="preserve">ｆ </t>
    </r>
    <r>
      <rPr>
        <sz val="12"/>
        <rFont val="ＭＳ Ｐ明朝"/>
        <family val="1"/>
        <charset val="128"/>
      </rPr>
      <t>：</t>
    </r>
    <phoneticPr fontId="2"/>
  </si>
  <si>
    <t>周面抵抗力</t>
    <rPh sb="0" eb="1">
      <t>シュウ</t>
    </rPh>
    <rPh sb="1" eb="2">
      <t>メン</t>
    </rPh>
    <rPh sb="2" eb="5">
      <t>テイコウリョク</t>
    </rPh>
    <phoneticPr fontId="2"/>
  </si>
  <si>
    <t>kN/m</t>
    <phoneticPr fontId="2"/>
  </si>
  <si>
    <t>Ｌ ：</t>
    <phoneticPr fontId="2"/>
  </si>
  <si>
    <t>Ｂc：</t>
    <phoneticPr fontId="2"/>
  </si>
  <si>
    <t>Ｈ ：</t>
    <phoneticPr fontId="2"/>
  </si>
  <si>
    <t>砂礫</t>
    <rPh sb="0" eb="2">
      <t>サレキ</t>
    </rPh>
    <phoneticPr fontId="2"/>
  </si>
  <si>
    <t>砂質土・粘性土</t>
    <rPh sb="0" eb="1">
      <t>スナ</t>
    </rPh>
    <rPh sb="1" eb="2">
      <t>シツ</t>
    </rPh>
    <rPh sb="2" eb="3">
      <t>ド</t>
    </rPh>
    <rPh sb="4" eb="6">
      <t>ネンセイ</t>
    </rPh>
    <rPh sb="6" eb="7">
      <t>ド</t>
    </rPh>
    <phoneticPr fontId="2"/>
  </si>
  <si>
    <t>先端抵抗　α</t>
    <rPh sb="0" eb="2">
      <t>センタン</t>
    </rPh>
    <rPh sb="2" eb="4">
      <t>テイコウ</t>
    </rPh>
    <phoneticPr fontId="2"/>
  </si>
  <si>
    <t>周面抵抗　ｆ</t>
    <rPh sb="0" eb="1">
      <t>シュウ</t>
    </rPh>
    <rPh sb="1" eb="2">
      <t>メン</t>
    </rPh>
    <rPh sb="2" eb="4">
      <t>テイコウ</t>
    </rPh>
    <phoneticPr fontId="2"/>
  </si>
  <si>
    <t>1.</t>
    <phoneticPr fontId="2"/>
  </si>
  <si>
    <t>条      件</t>
    <rPh sb="0" eb="1">
      <t>ジョウ</t>
    </rPh>
    <rPh sb="7" eb="8">
      <t>ケン</t>
    </rPh>
    <phoneticPr fontId="2"/>
  </si>
  <si>
    <t>1-1</t>
    <phoneticPr fontId="2"/>
  </si>
  <si>
    <t>設計条件</t>
    <phoneticPr fontId="2"/>
  </si>
  <si>
    <t>1)</t>
    <phoneticPr fontId="2"/>
  </si>
  <si>
    <t>設計管径</t>
    <rPh sb="0" eb="2">
      <t>セッケイ</t>
    </rPh>
    <rPh sb="2" eb="3">
      <t>カン</t>
    </rPh>
    <rPh sb="3" eb="4">
      <t>ケイ</t>
    </rPh>
    <phoneticPr fontId="2"/>
  </si>
  <si>
    <t>2)</t>
  </si>
  <si>
    <t>Ｂc＝</t>
    <phoneticPr fontId="2"/>
  </si>
  <si>
    <t>3)</t>
  </si>
  <si>
    <t>Ｂs＝</t>
    <phoneticPr fontId="2"/>
  </si>
  <si>
    <t>4)</t>
  </si>
  <si>
    <t>管の種類</t>
    <rPh sb="0" eb="1">
      <t>カン</t>
    </rPh>
    <rPh sb="2" eb="4">
      <t>シュルイ</t>
    </rPh>
    <phoneticPr fontId="2"/>
  </si>
  <si>
    <t>5)</t>
  </si>
  <si>
    <t>管の単位重量</t>
    <rPh sb="0" eb="1">
      <t>カン</t>
    </rPh>
    <rPh sb="2" eb="4">
      <t>タンイ</t>
    </rPh>
    <rPh sb="4" eb="6">
      <t>ジュウリョウ</t>
    </rPh>
    <phoneticPr fontId="2"/>
  </si>
  <si>
    <t>Ｗ ＝</t>
    <phoneticPr fontId="2"/>
  </si>
  <si>
    <t>6)</t>
  </si>
  <si>
    <t>管の耐荷力</t>
    <rPh sb="0" eb="1">
      <t>カン</t>
    </rPh>
    <rPh sb="2" eb="3">
      <t>タイ</t>
    </rPh>
    <rPh sb="3" eb="4">
      <t>カ</t>
    </rPh>
    <rPh sb="4" eb="5">
      <t>リョク</t>
    </rPh>
    <phoneticPr fontId="2"/>
  </si>
  <si>
    <t>Ｆa＝</t>
    <phoneticPr fontId="2"/>
  </si>
  <si>
    <t>7)</t>
  </si>
  <si>
    <t>Ｈ ＝</t>
    <phoneticPr fontId="2"/>
  </si>
  <si>
    <t>8)</t>
  </si>
  <si>
    <t>Ｌ ＝</t>
    <phoneticPr fontId="2"/>
  </si>
  <si>
    <t xml:space="preserve">1-2 </t>
    <phoneticPr fontId="2"/>
  </si>
  <si>
    <t>土質条件</t>
  </si>
  <si>
    <t>N値</t>
    <rPh sb="1" eb="2">
      <t>チ</t>
    </rPh>
    <phoneticPr fontId="2"/>
  </si>
  <si>
    <t>2.</t>
  </si>
  <si>
    <t>計       算</t>
    <rPh sb="0" eb="1">
      <t>ケイ</t>
    </rPh>
    <rPh sb="8" eb="9">
      <t>サン</t>
    </rPh>
    <phoneticPr fontId="2"/>
  </si>
  <si>
    <t>10)</t>
    <phoneticPr fontId="2"/>
  </si>
  <si>
    <r>
      <t>先端抵抗 ： Ｆ</t>
    </r>
    <r>
      <rPr>
        <vertAlign val="subscript"/>
        <sz val="12"/>
        <rFont val="ＭＳ Ｐ明朝"/>
        <family val="1"/>
        <charset val="128"/>
      </rPr>
      <t>0</t>
    </r>
    <r>
      <rPr>
        <sz val="12"/>
        <rFont val="ＭＳ Ｐ明朝"/>
        <family val="1"/>
        <charset val="128"/>
      </rPr>
      <t xml:space="preserve"> （kN）</t>
    </r>
    <rPh sb="0" eb="2">
      <t>センタン</t>
    </rPh>
    <rPh sb="2" eb="4">
      <t>テイコウ</t>
    </rPh>
    <phoneticPr fontId="2"/>
  </si>
  <si>
    <t>＝（</t>
    <phoneticPr fontId="2"/>
  </si>
  <si>
    <t>）×π×</t>
    <phoneticPr fontId="2"/>
  </si>
  <si>
    <t>＝</t>
    <phoneticPr fontId="2"/>
  </si>
  <si>
    <t>kN</t>
  </si>
  <si>
    <t>11)</t>
    <phoneticPr fontId="2"/>
  </si>
  <si>
    <t>総推進力 ： Ｆ （kN）</t>
    <rPh sb="0" eb="1">
      <t>ソウ</t>
    </rPh>
    <rPh sb="1" eb="4">
      <t>スイシンリョク</t>
    </rPh>
    <phoneticPr fontId="2"/>
  </si>
  <si>
    <t>3.</t>
  </si>
  <si>
    <t>元押許容推進延長の検討</t>
    <rPh sb="0" eb="1">
      <t>モト</t>
    </rPh>
    <rPh sb="1" eb="2">
      <t>オシ</t>
    </rPh>
    <rPh sb="2" eb="4">
      <t>キョヨウ</t>
    </rPh>
    <rPh sb="4" eb="6">
      <t>スイシン</t>
    </rPh>
    <rPh sb="6" eb="8">
      <t>エンチョウ</t>
    </rPh>
    <rPh sb="9" eb="11">
      <t>ケントウ</t>
    </rPh>
    <phoneticPr fontId="2"/>
  </si>
  <si>
    <t>管の許容耐荷力から求める</t>
    <rPh sb="0" eb="1">
      <t>カン</t>
    </rPh>
    <rPh sb="2" eb="4">
      <t>キョヨウ</t>
    </rPh>
    <rPh sb="4" eb="5">
      <t>タイ</t>
    </rPh>
    <rPh sb="5" eb="6">
      <t>カ</t>
    </rPh>
    <rPh sb="6" eb="7">
      <t>リョク</t>
    </rPh>
    <rPh sb="9" eb="10">
      <t>モト</t>
    </rPh>
    <phoneticPr fontId="2"/>
  </si>
  <si>
    <r>
      <t>①σc＝50kN/mm</t>
    </r>
    <r>
      <rPr>
        <vertAlign val="superscript"/>
        <sz val="12"/>
        <rFont val="ＭＳ Ｐ明朝"/>
        <family val="1"/>
        <charset val="128"/>
      </rPr>
      <t>2</t>
    </r>
    <phoneticPr fontId="2"/>
  </si>
  <si>
    <r>
      <t>①σc＝70kN/mm</t>
    </r>
    <r>
      <rPr>
        <vertAlign val="superscript"/>
        <sz val="12"/>
        <rFont val="ＭＳ Ｐ明朝"/>
        <family val="1"/>
        <charset val="128"/>
      </rPr>
      <t>2</t>
    </r>
    <phoneticPr fontId="2"/>
  </si>
  <si>
    <r>
      <t>10</t>
    </r>
    <r>
      <rPr>
        <vertAlign val="superscript"/>
        <sz val="12"/>
        <rFont val="ＭＳ Ｐ明朝"/>
        <family val="1"/>
        <charset val="128"/>
      </rPr>
      <t>3</t>
    </r>
    <r>
      <rPr>
        <sz val="12"/>
        <rFont val="ＭＳ Ｐ明朝"/>
        <family val="1"/>
        <charset val="128"/>
      </rPr>
      <t>・σ・Ａe</t>
    </r>
    <phoneticPr fontId="2"/>
  </si>
  <si>
    <r>
      <t>10</t>
    </r>
    <r>
      <rPr>
        <vertAlign val="superscript"/>
        <sz val="12"/>
        <rFont val="ＭＳ Ｐ明朝"/>
        <family val="1"/>
        <charset val="128"/>
      </rPr>
      <t>3</t>
    </r>
    <r>
      <rPr>
        <sz val="12"/>
        <rFont val="ＭＳ Ｐ明朝"/>
        <family val="1"/>
        <charset val="128"/>
      </rPr>
      <t>×</t>
    </r>
    <phoneticPr fontId="2"/>
  </si>
  <si>
    <t>許容推進延長</t>
    <rPh sb="0" eb="2">
      <t>キョヨウ</t>
    </rPh>
    <rPh sb="2" eb="4">
      <t>スイシン</t>
    </rPh>
    <rPh sb="4" eb="6">
      <t>エンチョウ</t>
    </rPh>
    <phoneticPr fontId="2"/>
  </si>
  <si>
    <t>Ｌa＝</t>
    <phoneticPr fontId="2"/>
  </si>
  <si>
    <t>－</t>
    <phoneticPr fontId="2"/>
  </si>
  <si>
    <t>元押ジャッキの有効推進力から求める</t>
    <rPh sb="0" eb="1">
      <t>モト</t>
    </rPh>
    <rPh sb="1" eb="2">
      <t>オシ</t>
    </rPh>
    <rPh sb="7" eb="9">
      <t>ユウコウ</t>
    </rPh>
    <rPh sb="9" eb="12">
      <t>スイシンリョク</t>
    </rPh>
    <rPh sb="14" eb="15">
      <t>モト</t>
    </rPh>
    <phoneticPr fontId="2"/>
  </si>
  <si>
    <t>La :</t>
    <phoneticPr fontId="2"/>
  </si>
  <si>
    <t>Fma :</t>
    <phoneticPr fontId="2"/>
  </si>
  <si>
    <t>元押ジャッキ最大配置有効推力</t>
    <rPh sb="0" eb="1">
      <t>モト</t>
    </rPh>
    <rPh sb="1" eb="2">
      <t>オシ</t>
    </rPh>
    <rPh sb="6" eb="8">
      <t>サイダイ</t>
    </rPh>
    <rPh sb="8" eb="10">
      <t>ハイチ</t>
    </rPh>
    <rPh sb="10" eb="12">
      <t>ユウコウ</t>
    </rPh>
    <rPh sb="12" eb="14">
      <t>スイリョク</t>
    </rPh>
    <phoneticPr fontId="2"/>
  </si>
  <si>
    <t>4.</t>
  </si>
  <si>
    <t>推進延長との比較</t>
    <rPh sb="0" eb="2">
      <t>スイシン</t>
    </rPh>
    <rPh sb="2" eb="4">
      <t>エンチョウ</t>
    </rPh>
    <rPh sb="6" eb="8">
      <t>ヒカク</t>
    </rPh>
    <phoneticPr fontId="2"/>
  </si>
  <si>
    <t>結果一覧表</t>
    <rPh sb="0" eb="2">
      <t>ケッカ</t>
    </rPh>
    <rPh sb="2" eb="4">
      <t>イチラン</t>
    </rPh>
    <rPh sb="4" eb="5">
      <t>ヒョウ</t>
    </rPh>
    <phoneticPr fontId="2"/>
  </si>
  <si>
    <t>計画推進延長</t>
    <rPh sb="0" eb="2">
      <t>ケイカク</t>
    </rPh>
    <rPh sb="2" eb="4">
      <t>スイシン</t>
    </rPh>
    <rPh sb="4" eb="6">
      <t>エンチョウ</t>
    </rPh>
    <phoneticPr fontId="2"/>
  </si>
  <si>
    <t>採用</t>
    <rPh sb="0" eb="2">
      <t>サイヨウ</t>
    </rPh>
    <phoneticPr fontId="2"/>
  </si>
  <si>
    <t>必要総推進力</t>
    <rPh sb="0" eb="2">
      <t>ヒツヨウ</t>
    </rPh>
    <rPh sb="2" eb="3">
      <t>ソウ</t>
    </rPh>
    <rPh sb="3" eb="6">
      <t>スイシンリョク</t>
    </rPh>
    <phoneticPr fontId="2"/>
  </si>
  <si>
    <t>管の許容耐荷力から求める場合</t>
    <rPh sb="0" eb="1">
      <t>カン</t>
    </rPh>
    <rPh sb="2" eb="4">
      <t>キョヨウ</t>
    </rPh>
    <rPh sb="4" eb="5">
      <t>タイ</t>
    </rPh>
    <rPh sb="5" eb="6">
      <t>カ</t>
    </rPh>
    <rPh sb="6" eb="7">
      <t>リョク</t>
    </rPh>
    <rPh sb="9" eb="10">
      <t>モト</t>
    </rPh>
    <rPh sb="12" eb="14">
      <t>バアイ</t>
    </rPh>
    <phoneticPr fontId="2"/>
  </si>
  <si>
    <t>管種</t>
    <rPh sb="0" eb="1">
      <t>カン</t>
    </rPh>
    <rPh sb="1" eb="2">
      <t>シュ</t>
    </rPh>
    <phoneticPr fontId="2"/>
  </si>
  <si>
    <r>
      <t>Ⅰ種-50        50Ｎ/ｍｍ</t>
    </r>
    <r>
      <rPr>
        <vertAlign val="superscript"/>
        <sz val="12"/>
        <rFont val="ＭＳ Ｐ明朝"/>
        <family val="1"/>
        <charset val="128"/>
      </rPr>
      <t>2</t>
    </r>
    <rPh sb="1" eb="2">
      <t>シュ</t>
    </rPh>
    <phoneticPr fontId="2"/>
  </si>
  <si>
    <r>
      <t>Ⅰ種-70        70Ｎ/ｍｍ</t>
    </r>
    <r>
      <rPr>
        <vertAlign val="superscript"/>
        <sz val="12"/>
        <rFont val="ＭＳ Ｐ明朝"/>
        <family val="1"/>
        <charset val="128"/>
      </rPr>
      <t>2</t>
    </r>
    <rPh sb="1" eb="2">
      <t>シュ</t>
    </rPh>
    <phoneticPr fontId="2"/>
  </si>
  <si>
    <t>管の許容耐荷力</t>
    <rPh sb="0" eb="1">
      <t>カン</t>
    </rPh>
    <rPh sb="2" eb="4">
      <t>キョヨウ</t>
    </rPh>
    <rPh sb="4" eb="5">
      <t>タイ</t>
    </rPh>
    <rPh sb="5" eb="6">
      <t>カ</t>
    </rPh>
    <rPh sb="6" eb="7">
      <t>リョク</t>
    </rPh>
    <phoneticPr fontId="2"/>
  </si>
  <si>
    <t>(kN)</t>
    <phoneticPr fontId="2"/>
  </si>
  <si>
    <t>(m)</t>
    <phoneticPr fontId="2"/>
  </si>
  <si>
    <t>判定</t>
    <rPh sb="0" eb="2">
      <t>ハンテイ</t>
    </rPh>
    <phoneticPr fontId="2"/>
  </si>
  <si>
    <t>ジャッキの有効推進力から求める場合</t>
    <rPh sb="5" eb="7">
      <t>ユウコウ</t>
    </rPh>
    <rPh sb="7" eb="10">
      <t>スイシンリョク</t>
    </rPh>
    <rPh sb="12" eb="13">
      <t>モト</t>
    </rPh>
    <rPh sb="15" eb="17">
      <t>バアイ</t>
    </rPh>
    <phoneticPr fontId="2"/>
  </si>
  <si>
    <t>元押ジャッキの有効推進力</t>
    <rPh sb="0" eb="1">
      <t>モト</t>
    </rPh>
    <rPh sb="1" eb="2">
      <t>オシ</t>
    </rPh>
    <rPh sb="7" eb="9">
      <t>ユウコウ</t>
    </rPh>
    <rPh sb="9" eb="12">
      <t>スイシンリョク</t>
    </rPh>
    <phoneticPr fontId="2"/>
  </si>
  <si>
    <t>上記表より、 小さい値 （</t>
    <rPh sb="0" eb="2">
      <t>ジョウキ</t>
    </rPh>
    <rPh sb="2" eb="3">
      <t>ヒョウ</t>
    </rPh>
    <rPh sb="7" eb="8">
      <t>チイ</t>
    </rPh>
    <rPh sb="10" eb="11">
      <t>アタイ</t>
    </rPh>
    <phoneticPr fontId="2"/>
  </si>
  <si>
    <t>）を採用する。</t>
    <rPh sb="2" eb="4">
      <t>サイヨウ</t>
    </rPh>
    <phoneticPr fontId="2"/>
  </si>
  <si>
    <t>許容推進延長(La)</t>
    <rPh sb="0" eb="2">
      <t>キョヨウ</t>
    </rPh>
    <rPh sb="2" eb="4">
      <t>スイシン</t>
    </rPh>
    <rPh sb="4" eb="6">
      <t>エンチョウ</t>
    </rPh>
    <phoneticPr fontId="2"/>
  </si>
  <si>
    <t>推進延長（Ｌ）</t>
    <rPh sb="0" eb="2">
      <t>スイシン</t>
    </rPh>
    <rPh sb="2" eb="4">
      <t>エンチョウ</t>
    </rPh>
    <phoneticPr fontId="2"/>
  </si>
  <si>
    <t>Ｂ</t>
    <phoneticPr fontId="2"/>
  </si>
  <si>
    <t>Ｃ－１</t>
    <phoneticPr fontId="2"/>
  </si>
  <si>
    <t>Ｆ－ｃ</t>
    <phoneticPr fontId="2"/>
  </si>
  <si>
    <t>Ｆ－ｄ</t>
    <phoneticPr fontId="2"/>
  </si>
  <si>
    <t>Ｆ－ｅ</t>
    <phoneticPr fontId="2"/>
  </si>
  <si>
    <t>Ｆ－ｆ</t>
    <phoneticPr fontId="2"/>
  </si>
  <si>
    <t>使用量</t>
    <rPh sb="0" eb="2">
      <t>シヨウ</t>
    </rPh>
    <rPh sb="2" eb="3">
      <t>リョウ</t>
    </rPh>
    <phoneticPr fontId="2"/>
  </si>
  <si>
    <t>使用量</t>
    <rPh sb="0" eb="3">
      <t>シヨウリョウ</t>
    </rPh>
    <phoneticPr fontId="2"/>
  </si>
  <si>
    <t>総使用量</t>
    <rPh sb="0" eb="1">
      <t>ソウ</t>
    </rPh>
    <rPh sb="1" eb="3">
      <t>シヨウ</t>
    </rPh>
    <rPh sb="3" eb="4">
      <t>リョウ</t>
    </rPh>
    <phoneticPr fontId="2"/>
  </si>
  <si>
    <t>m当り</t>
    <rPh sb="1" eb="2">
      <t>アタ</t>
    </rPh>
    <phoneticPr fontId="2"/>
  </si>
  <si>
    <t>Ｌ1</t>
    <phoneticPr fontId="2"/>
  </si>
  <si>
    <t>Ｌ2</t>
    <phoneticPr fontId="2"/>
  </si>
  <si>
    <t>機械事業部　土木機械課</t>
    <rPh sb="0" eb="2">
      <t>キカイ</t>
    </rPh>
    <rPh sb="2" eb="4">
      <t>ジギョウ</t>
    </rPh>
    <rPh sb="4" eb="5">
      <t>ブ</t>
    </rPh>
    <rPh sb="6" eb="8">
      <t>ドボク</t>
    </rPh>
    <rPh sb="8" eb="10">
      <t>キカイ</t>
    </rPh>
    <rPh sb="10" eb="11">
      <t>カ</t>
    </rPh>
    <phoneticPr fontId="2"/>
  </si>
  <si>
    <t>東京都中央区京橋1-1-1</t>
    <rPh sb="0" eb="3">
      <t>トウキョウト</t>
    </rPh>
    <rPh sb="3" eb="6">
      <t>チュウオウク</t>
    </rPh>
    <rPh sb="6" eb="8">
      <t>キョウバシ</t>
    </rPh>
    <phoneticPr fontId="2"/>
  </si>
  <si>
    <t>Tel　０３－３２７８－３８５１</t>
    <phoneticPr fontId="2"/>
  </si>
  <si>
    <t>Ｌ3</t>
    <phoneticPr fontId="2"/>
  </si>
  <si>
    <t>土木機械事業部　大阪営業所</t>
    <rPh sb="0" eb="2">
      <t>ドボク</t>
    </rPh>
    <rPh sb="2" eb="4">
      <t>キカイ</t>
    </rPh>
    <rPh sb="4" eb="6">
      <t>ジギョウ</t>
    </rPh>
    <rPh sb="6" eb="7">
      <t>ブ</t>
    </rPh>
    <rPh sb="8" eb="10">
      <t>オオサカ</t>
    </rPh>
    <rPh sb="10" eb="13">
      <t>エイギョウショ</t>
    </rPh>
    <phoneticPr fontId="2"/>
  </si>
  <si>
    <t>大阪市淀川区西中島5-7-11</t>
    <rPh sb="0" eb="3">
      <t>オオサカシ</t>
    </rPh>
    <rPh sb="3" eb="6">
      <t>ヨドガワク</t>
    </rPh>
    <rPh sb="6" eb="9">
      <t>ニシナカジマ</t>
    </rPh>
    <phoneticPr fontId="2"/>
  </si>
  <si>
    <t>Tel　０６－６３０１－０５０５</t>
    <phoneticPr fontId="2"/>
  </si>
  <si>
    <t>Ｌ4</t>
    <phoneticPr fontId="2"/>
  </si>
  <si>
    <t xml:space="preserve"> 土木機械課　福岡営業所</t>
    <rPh sb="1" eb="3">
      <t>ドボク</t>
    </rPh>
    <rPh sb="3" eb="5">
      <t>キカイ</t>
    </rPh>
    <rPh sb="5" eb="6">
      <t>カ</t>
    </rPh>
    <rPh sb="7" eb="9">
      <t>フクオカ</t>
    </rPh>
    <rPh sb="9" eb="12">
      <t>エイギョウショ</t>
    </rPh>
    <phoneticPr fontId="2"/>
  </si>
  <si>
    <t>筑後市羽犬塚３２２－２</t>
    <rPh sb="0" eb="3">
      <t>チクゴシ</t>
    </rPh>
    <rPh sb="3" eb="6">
      <t>ハイヌヅカ</t>
    </rPh>
    <phoneticPr fontId="2"/>
  </si>
  <si>
    <t>Tel　０９４２－５２－７２１７</t>
    <phoneticPr fontId="2"/>
  </si>
  <si>
    <t>Ｌ5</t>
    <phoneticPr fontId="2"/>
  </si>
  <si>
    <t>土木機械事業部　仙台営業所</t>
    <rPh sb="0" eb="2">
      <t>ドボク</t>
    </rPh>
    <rPh sb="2" eb="4">
      <t>キカイ</t>
    </rPh>
    <rPh sb="4" eb="6">
      <t>ジギョウ</t>
    </rPh>
    <rPh sb="6" eb="7">
      <t>ブ</t>
    </rPh>
    <rPh sb="8" eb="10">
      <t>センダイ</t>
    </rPh>
    <rPh sb="10" eb="13">
      <t>エイギョウショ</t>
    </rPh>
    <phoneticPr fontId="2"/>
  </si>
  <si>
    <t>宮城県岩沼市下野郷字新田18</t>
    <rPh sb="0" eb="3">
      <t>ミヤギケン</t>
    </rPh>
    <rPh sb="3" eb="6">
      <t>イワヌマシ</t>
    </rPh>
    <rPh sb="6" eb="8">
      <t>シモノ</t>
    </rPh>
    <rPh sb="8" eb="9">
      <t>ゴウ</t>
    </rPh>
    <rPh sb="9" eb="10">
      <t>アザ</t>
    </rPh>
    <rPh sb="10" eb="12">
      <t>シンデン</t>
    </rPh>
    <phoneticPr fontId="2"/>
  </si>
  <si>
    <t>Tel　０２２３－２４－５３５１</t>
    <phoneticPr fontId="2"/>
  </si>
  <si>
    <t>Ｌ6</t>
    <phoneticPr fontId="2"/>
  </si>
  <si>
    <t>羽犬塚工場 土木技術課</t>
    <rPh sb="0" eb="3">
      <t>ハイヌヅカ</t>
    </rPh>
    <rPh sb="3" eb="5">
      <t>コウジョウ</t>
    </rPh>
    <rPh sb="6" eb="8">
      <t>ドボク</t>
    </rPh>
    <rPh sb="8" eb="10">
      <t>ギジュツ</t>
    </rPh>
    <rPh sb="10" eb="11">
      <t>カ</t>
    </rPh>
    <phoneticPr fontId="2"/>
  </si>
  <si>
    <t>福岡県筑後市羽犬塚324-1</t>
    <rPh sb="0" eb="3">
      <t>フクオカケン</t>
    </rPh>
    <rPh sb="3" eb="6">
      <t>チクゴシ</t>
    </rPh>
    <rPh sb="6" eb="9">
      <t>ハイヌヅカ</t>
    </rPh>
    <phoneticPr fontId="2"/>
  </si>
  <si>
    <t>Tel　０９４２－５２－７１１６</t>
    <phoneticPr fontId="2"/>
  </si>
  <si>
    <t>Ｌ7</t>
    <phoneticPr fontId="2"/>
  </si>
  <si>
    <t>Ｌ8</t>
    <phoneticPr fontId="2"/>
  </si>
  <si>
    <t>Ｌ9</t>
    <phoneticPr fontId="2"/>
  </si>
  <si>
    <t>Ｌ10</t>
    <phoneticPr fontId="2"/>
  </si>
  <si>
    <t>Ｌ11</t>
    <phoneticPr fontId="2"/>
  </si>
  <si>
    <t>Ｌ12</t>
    <phoneticPr fontId="2"/>
  </si>
  <si>
    <t>Ｌ13</t>
    <phoneticPr fontId="2"/>
  </si>
  <si>
    <t>Ｌ14</t>
    <phoneticPr fontId="2"/>
  </si>
  <si>
    <t>Ｌ15</t>
    <phoneticPr fontId="2"/>
  </si>
  <si>
    <t>引抜鋼棒</t>
    <rPh sb="0" eb="2">
      <t>ヒキヌキ</t>
    </rPh>
    <rPh sb="2" eb="3">
      <t>コウ</t>
    </rPh>
    <rPh sb="3" eb="4">
      <t>ボウ</t>
    </rPh>
    <phoneticPr fontId="2"/>
  </si>
  <si>
    <t>半管用</t>
    <rPh sb="0" eb="1">
      <t>ハン</t>
    </rPh>
    <rPh sb="1" eb="2">
      <t>カン</t>
    </rPh>
    <rPh sb="2" eb="3">
      <t>ヨウ</t>
    </rPh>
    <phoneticPr fontId="2"/>
  </si>
  <si>
    <t>標準用</t>
    <rPh sb="0" eb="2">
      <t>ヒョウジュン</t>
    </rPh>
    <rPh sb="2" eb="3">
      <t>ヨウ</t>
    </rPh>
    <phoneticPr fontId="2"/>
  </si>
  <si>
    <t>供用日m当り</t>
    <rPh sb="0" eb="2">
      <t>キョウヨウ</t>
    </rPh>
    <rPh sb="2" eb="3">
      <t>ビ</t>
    </rPh>
    <rPh sb="4" eb="5">
      <t>アタ</t>
    </rPh>
    <phoneticPr fontId="2"/>
  </si>
  <si>
    <t>配管１現場当り</t>
    <rPh sb="0" eb="2">
      <t>ハイカン</t>
    </rPh>
    <rPh sb="3" eb="5">
      <t>ゲンバ</t>
    </rPh>
    <rPh sb="5" eb="6">
      <t>アタ</t>
    </rPh>
    <phoneticPr fontId="2"/>
  </si>
  <si>
    <t>配管１供用日当り</t>
    <rPh sb="0" eb="2">
      <t>ハイカン</t>
    </rPh>
    <rPh sb="3" eb="5">
      <t>キョウヨウ</t>
    </rPh>
    <rPh sb="5" eb="7">
      <t>ヒアタ</t>
    </rPh>
    <phoneticPr fontId="2"/>
  </si>
  <si>
    <t>配管2現場当り</t>
    <rPh sb="0" eb="2">
      <t>ハイカン</t>
    </rPh>
    <rPh sb="3" eb="5">
      <t>ゲンバ</t>
    </rPh>
    <rPh sb="5" eb="6">
      <t>アタ</t>
    </rPh>
    <phoneticPr fontId="2"/>
  </si>
  <si>
    <t>配管2供用日当り</t>
    <rPh sb="0" eb="2">
      <t>ハイカン</t>
    </rPh>
    <rPh sb="3" eb="5">
      <t>キョウヨウ</t>
    </rPh>
    <rPh sb="5" eb="7">
      <t>ヒアタ</t>
    </rPh>
    <phoneticPr fontId="2"/>
  </si>
  <si>
    <t>送排泥ポンプ</t>
    <rPh sb="0" eb="1">
      <t>ソウ</t>
    </rPh>
    <rPh sb="1" eb="2">
      <t>ハイ</t>
    </rPh>
    <rPh sb="2" eb="3">
      <t>ドロ</t>
    </rPh>
    <phoneticPr fontId="2"/>
  </si>
  <si>
    <t>50A</t>
    <phoneticPr fontId="2"/>
  </si>
  <si>
    <t>80A</t>
    <phoneticPr fontId="2"/>
  </si>
  <si>
    <t>100A</t>
    <phoneticPr fontId="2"/>
  </si>
  <si>
    <t>P1</t>
    <phoneticPr fontId="2"/>
  </si>
  <si>
    <t>P2</t>
    <phoneticPr fontId="2"/>
  </si>
  <si>
    <t>１日当り稼働時間：掘進機、注入装置</t>
    <rPh sb="1" eb="2">
      <t>ニチ</t>
    </rPh>
    <rPh sb="2" eb="3">
      <t>アタ</t>
    </rPh>
    <rPh sb="4" eb="6">
      <t>カドウ</t>
    </rPh>
    <rPh sb="6" eb="8">
      <t>ジカン</t>
    </rPh>
    <rPh sb="9" eb="12">
      <t>クッシンキ</t>
    </rPh>
    <rPh sb="13" eb="15">
      <t>チュウニュウ</t>
    </rPh>
    <rPh sb="15" eb="17">
      <t>ソウチ</t>
    </rPh>
    <phoneticPr fontId="2"/>
  </si>
  <si>
    <t>Ｅ，Ｆａ</t>
    <phoneticPr fontId="2"/>
  </si>
  <si>
    <t>１日当り稼働時間：油圧ポンプ</t>
    <rPh sb="1" eb="2">
      <t>ニチ</t>
    </rPh>
    <rPh sb="2" eb="3">
      <t>アタ</t>
    </rPh>
    <rPh sb="4" eb="6">
      <t>カドウ</t>
    </rPh>
    <rPh sb="6" eb="8">
      <t>ジカン</t>
    </rPh>
    <rPh sb="9" eb="11">
      <t>ユアツ</t>
    </rPh>
    <phoneticPr fontId="2"/>
  </si>
  <si>
    <t>１日当り稼働時間：処理機、環流ポンプ</t>
    <rPh sb="1" eb="2">
      <t>ニチ</t>
    </rPh>
    <rPh sb="2" eb="3">
      <t>アタ</t>
    </rPh>
    <rPh sb="4" eb="6">
      <t>カドウ</t>
    </rPh>
    <rPh sb="6" eb="8">
      <t>ジカン</t>
    </rPh>
    <rPh sb="9" eb="12">
      <t>ショリキ</t>
    </rPh>
    <rPh sb="13" eb="15">
      <t>カンリュウ</t>
    </rPh>
    <phoneticPr fontId="2"/>
  </si>
  <si>
    <t>処理機、環流ポンプの電力量</t>
    <rPh sb="10" eb="12">
      <t>デンリョク</t>
    </rPh>
    <rPh sb="12" eb="13">
      <t>リョウ</t>
    </rPh>
    <phoneticPr fontId="2"/>
  </si>
  <si>
    <t>稼動時間</t>
    <rPh sb="0" eb="2">
      <t>カドウ</t>
    </rPh>
    <rPh sb="2" eb="4">
      <t>ジカン</t>
    </rPh>
    <phoneticPr fontId="2"/>
  </si>
  <si>
    <t>送消費量</t>
    <rPh sb="0" eb="1">
      <t>ソウ</t>
    </rPh>
    <rPh sb="1" eb="4">
      <t>ショウヒリョウ</t>
    </rPh>
    <phoneticPr fontId="2"/>
  </si>
  <si>
    <t>排消費量</t>
    <rPh sb="0" eb="1">
      <t>ハイ</t>
    </rPh>
    <rPh sb="1" eb="4">
      <t>ショウヒリョウ</t>
    </rPh>
    <phoneticPr fontId="2"/>
  </si>
  <si>
    <t>中消費量</t>
    <rPh sb="0" eb="1">
      <t>ナカ</t>
    </rPh>
    <rPh sb="1" eb="4">
      <t>ショウヒリョウ</t>
    </rPh>
    <phoneticPr fontId="2"/>
  </si>
  <si>
    <t>送電力量</t>
    <rPh sb="0" eb="1">
      <t>ソウ</t>
    </rPh>
    <rPh sb="1" eb="3">
      <t>デンリョク</t>
    </rPh>
    <rPh sb="3" eb="4">
      <t>リョウ</t>
    </rPh>
    <phoneticPr fontId="2"/>
  </si>
  <si>
    <t>排電力量</t>
    <rPh sb="0" eb="1">
      <t>ハイ</t>
    </rPh>
    <rPh sb="1" eb="3">
      <t>デンリョク</t>
    </rPh>
    <rPh sb="3" eb="4">
      <t>リョウ</t>
    </rPh>
    <phoneticPr fontId="2"/>
  </si>
  <si>
    <t>処消費量</t>
    <rPh sb="0" eb="1">
      <t>ショ</t>
    </rPh>
    <rPh sb="1" eb="4">
      <t>ショウヒリョウ</t>
    </rPh>
    <phoneticPr fontId="2"/>
  </si>
  <si>
    <t>処電力量</t>
    <rPh sb="0" eb="1">
      <t>ショ</t>
    </rPh>
    <rPh sb="1" eb="3">
      <t>デンリョク</t>
    </rPh>
    <rPh sb="3" eb="4">
      <t>リョウ</t>
    </rPh>
    <phoneticPr fontId="2"/>
  </si>
  <si>
    <t>P消費量</t>
    <rPh sb="1" eb="4">
      <t>ショウヒリョウ</t>
    </rPh>
    <phoneticPr fontId="2"/>
  </si>
  <si>
    <t>攪消費量</t>
    <rPh sb="0" eb="1">
      <t>ミダ</t>
    </rPh>
    <rPh sb="1" eb="4">
      <t>ショウヒリョウ</t>
    </rPh>
    <phoneticPr fontId="2"/>
  </si>
  <si>
    <t>攪電力量</t>
    <rPh sb="0" eb="1">
      <t>ミダ</t>
    </rPh>
    <rPh sb="1" eb="3">
      <t>デンリョク</t>
    </rPh>
    <rPh sb="3" eb="4">
      <t>リョウ</t>
    </rPh>
    <phoneticPr fontId="2"/>
  </si>
  <si>
    <t>油圧ポンプの電力量</t>
    <rPh sb="6" eb="8">
      <t>デンリョク</t>
    </rPh>
    <rPh sb="8" eb="9">
      <t>リョウ</t>
    </rPh>
    <phoneticPr fontId="2"/>
  </si>
  <si>
    <t>消費量</t>
    <rPh sb="0" eb="3">
      <t>ショウヒリョウ</t>
    </rPh>
    <phoneticPr fontId="2"/>
  </si>
  <si>
    <t>電力量</t>
    <rPh sb="0" eb="2">
      <t>デンリョク</t>
    </rPh>
    <rPh sb="2" eb="3">
      <t>リョウ</t>
    </rPh>
    <phoneticPr fontId="2"/>
  </si>
  <si>
    <t>掘進機、注入装置の電力量</t>
    <rPh sb="9" eb="11">
      <t>デンリョク</t>
    </rPh>
    <rPh sb="11" eb="12">
      <t>リョウ</t>
    </rPh>
    <phoneticPr fontId="2"/>
  </si>
  <si>
    <t>掘消費量</t>
    <rPh sb="0" eb="1">
      <t>クツ</t>
    </rPh>
    <rPh sb="1" eb="4">
      <t>ショウヒリョウ</t>
    </rPh>
    <phoneticPr fontId="2"/>
  </si>
  <si>
    <t>GP消費量</t>
    <rPh sb="2" eb="5">
      <t>ショウヒリョウ</t>
    </rPh>
    <phoneticPr fontId="2"/>
  </si>
  <si>
    <t>GM消費量</t>
    <rPh sb="2" eb="5">
      <t>ショウヒリョウ</t>
    </rPh>
    <phoneticPr fontId="2"/>
  </si>
  <si>
    <t>掘電力量</t>
    <rPh sb="1" eb="3">
      <t>デンリョク</t>
    </rPh>
    <rPh sb="3" eb="4">
      <t>リョウ</t>
    </rPh>
    <phoneticPr fontId="2"/>
  </si>
  <si>
    <t>GP電力量</t>
    <rPh sb="2" eb="4">
      <t>デンリョク</t>
    </rPh>
    <rPh sb="4" eb="5">
      <t>リョウ</t>
    </rPh>
    <phoneticPr fontId="2"/>
  </si>
  <si>
    <t>GM電力量</t>
    <rPh sb="2" eb="4">
      <t>デンリョク</t>
    </rPh>
    <rPh sb="4" eb="5">
      <t>リョウ</t>
    </rPh>
    <phoneticPr fontId="2"/>
  </si>
  <si>
    <t>　・掘進機の最低供用日は30日となります。</t>
    <rPh sb="2" eb="5">
      <t>クッシンキ</t>
    </rPh>
    <rPh sb="6" eb="8">
      <t>サイテイ</t>
    </rPh>
    <rPh sb="8" eb="10">
      <t>キョウヨウ</t>
    </rPh>
    <rPh sb="10" eb="11">
      <t>ビ</t>
    </rPh>
    <rPh sb="14" eb="15">
      <t>ニチ</t>
    </rPh>
    <phoneticPr fontId="2"/>
  </si>
  <si>
    <t>点検整備費</t>
    <rPh sb="0" eb="2">
      <t>テンケン</t>
    </rPh>
    <rPh sb="2" eb="4">
      <t>セイビ</t>
    </rPh>
    <rPh sb="4" eb="5">
      <t>ヒ</t>
    </rPh>
    <phoneticPr fontId="2"/>
  </si>
  <si>
    <t>点検整備費</t>
    <phoneticPr fontId="2"/>
  </si>
  <si>
    <t>Ｂ，Ｃ－１</t>
  </si>
  <si>
    <t>Ｅ，Ｆ－ａ</t>
  </si>
  <si>
    <t>Ｃ－２，Ｄ，F－ｂ ～ Ｆ－ｆ</t>
    <phoneticPr fontId="2"/>
  </si>
  <si>
    <t>Ｃ－２，Ｄ，
F－ｂ～Ｆ－ｆ</t>
    <phoneticPr fontId="2"/>
  </si>
  <si>
    <t>礫混じり土</t>
    <rPh sb="0" eb="1">
      <t>レキ</t>
    </rPh>
    <rPh sb="1" eb="2">
      <t>マ</t>
    </rPh>
    <rPh sb="4" eb="5">
      <t>ド</t>
    </rPh>
    <phoneticPr fontId="2"/>
  </si>
  <si>
    <t>5-D</t>
    <phoneticPr fontId="2"/>
  </si>
  <si>
    <t>6-E</t>
    <phoneticPr fontId="2"/>
  </si>
  <si>
    <t>7-F-a</t>
    <phoneticPr fontId="2"/>
  </si>
  <si>
    <t>8-F-b</t>
    <phoneticPr fontId="2"/>
  </si>
  <si>
    <t xml:space="preserve"> 80％以下</t>
    <rPh sb="4" eb="6">
      <t>イカ</t>
    </rPh>
    <phoneticPr fontId="2"/>
  </si>
  <si>
    <t xml:space="preserve"> 呼び径の80％程度</t>
    <rPh sb="1" eb="2">
      <t>ヨ</t>
    </rPh>
    <rPh sb="3" eb="4">
      <t>ケイ</t>
    </rPh>
    <rPh sb="8" eb="10">
      <t>テイド</t>
    </rPh>
    <phoneticPr fontId="2"/>
  </si>
  <si>
    <t>φ600～φ700に適用</t>
    <rPh sb="10" eb="11">
      <t>テキ</t>
    </rPh>
    <rPh sb="11" eb="12">
      <t>ヨウ</t>
    </rPh>
    <phoneticPr fontId="2"/>
  </si>
  <si>
    <t>&lt;ミニコーン,ユニコーン工法資料&gt;</t>
    <rPh sb="12" eb="14">
      <t>コウホウ</t>
    </rPh>
    <rPh sb="14" eb="16">
      <t>シリョウ</t>
    </rPh>
    <phoneticPr fontId="2"/>
  </si>
  <si>
    <t>↑600mm以上は推進管種類 2を入力下さい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</si>
</sst>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quot;¥&quot;#,##0_);[Red]\(&quot;¥&quot;#,##0\)"/>
    <numFmt numFmtId="177" formatCode="0.0"/>
    <numFmt numFmtId="178" formatCode="0.000"/>
    <numFmt numFmtId="179" formatCode="0.000_ "/>
    <numFmt numFmtId="180" formatCode="0.0000"/>
    <numFmt numFmtId="181" formatCode="0.00_ "/>
    <numFmt numFmtId="182" formatCode="0.00_);[Red]\(0.00\)"/>
    <numFmt numFmtId="183" formatCode="0.0_ "/>
    <numFmt numFmtId="184" formatCode="yyyy&quot;年&quot;m&quot;月&quot;d&quot;日&quot;;@"/>
  </numFmts>
  <fonts count="7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20"/>
      <name val="ＭＳ Ｐ明朝"/>
      <family val="1"/>
      <charset val="128"/>
    </font>
    <font>
      <sz val="22"/>
      <name val="ＭＳ Ｐ明朝"/>
      <family val="1"/>
      <charset val="128"/>
    </font>
    <font>
      <sz val="24"/>
      <name val="ＭＳ Ｐ明朝"/>
      <family val="1"/>
      <charset val="128"/>
    </font>
    <font>
      <sz val="28"/>
      <name val="ＭＳ Ｐ明朝"/>
      <family val="1"/>
      <charset val="128"/>
    </font>
    <font>
      <sz val="10"/>
      <name val="ＭＳ Ｐ明朝"/>
      <family val="1"/>
      <charset val="128"/>
    </font>
    <font>
      <sz val="9"/>
      <name val="ＭＳ Ｐ明朝"/>
      <family val="1"/>
      <charset val="128"/>
    </font>
    <font>
      <sz val="8"/>
      <name val="ＭＳ Ｐ明朝"/>
      <family val="1"/>
      <charset val="128"/>
    </font>
    <font>
      <vertAlign val="superscript"/>
      <sz val="9"/>
      <name val="ＭＳ Ｐ明朝"/>
      <family val="1"/>
      <charset val="128"/>
    </font>
    <font>
      <sz val="12"/>
      <name val="ＭＳ Ｐ明朝"/>
      <family val="1"/>
      <charset val="128"/>
    </font>
    <font>
      <vertAlign val="subscript"/>
      <sz val="12"/>
      <name val="ＭＳ Ｐ明朝"/>
      <family val="1"/>
      <charset val="128"/>
    </font>
    <font>
      <b/>
      <sz val="12"/>
      <name val="ＭＳ Ｐ明朝"/>
      <family val="1"/>
      <charset val="128"/>
    </font>
    <font>
      <vertAlign val="superscript"/>
      <sz val="12"/>
      <name val="ＭＳ Ｐ明朝"/>
      <family val="1"/>
      <charset val="128"/>
    </font>
    <font>
      <b/>
      <sz val="20"/>
      <name val="ＭＳ Ｐ明朝"/>
      <family val="1"/>
      <charset val="128"/>
    </font>
    <font>
      <b/>
      <sz val="12"/>
      <color indexed="10"/>
      <name val="ＭＳ Ｐ明朝"/>
      <family val="1"/>
      <charset val="128"/>
    </font>
    <font>
      <sz val="10"/>
      <color indexed="12"/>
      <name val="ＭＳ Ｐ明朝"/>
      <family val="1"/>
      <charset val="128"/>
    </font>
    <font>
      <b/>
      <sz val="16"/>
      <name val="ＭＳ Ｐ明朝"/>
      <family val="1"/>
      <charset val="128"/>
    </font>
    <font>
      <sz val="10"/>
      <name val="ＭＳ Ｐゴシック"/>
      <family val="3"/>
      <charset val="128"/>
    </font>
    <font>
      <vertAlign val="superscript"/>
      <sz val="10"/>
      <name val="ＭＳ Ｐ明朝"/>
      <family val="1"/>
      <charset val="128"/>
    </font>
    <font>
      <vertAlign val="superscript"/>
      <sz val="11"/>
      <name val="ＭＳ Ｐ明朝"/>
      <family val="1"/>
      <charset val="128"/>
    </font>
    <font>
      <sz val="11"/>
      <color indexed="8"/>
      <name val="ＭＳ Ｐ明朝"/>
      <family val="1"/>
      <charset val="128"/>
    </font>
    <font>
      <sz val="11"/>
      <color indexed="12"/>
      <name val="ＭＳ Ｐ明朝"/>
      <family val="1"/>
      <charset val="128"/>
    </font>
    <font>
      <u/>
      <sz val="11"/>
      <name val="ＭＳ Ｐ明朝"/>
      <family val="1"/>
      <charset val="128"/>
    </font>
    <font>
      <sz val="11"/>
      <color indexed="8"/>
      <name val="ＭＳ Ｐゴシック"/>
      <family val="3"/>
      <charset val="128"/>
    </font>
    <font>
      <sz val="11"/>
      <color indexed="8"/>
      <name val="ＭＳ 明朝"/>
      <family val="1"/>
      <charset val="128"/>
    </font>
    <font>
      <sz val="10.5"/>
      <name val="ＭＳ Ｐ明朝"/>
      <family val="1"/>
      <charset val="128"/>
    </font>
    <font>
      <b/>
      <sz val="11"/>
      <name val="ＭＳ Ｐゴシック"/>
      <family val="3"/>
      <charset val="128"/>
    </font>
    <font>
      <sz val="11"/>
      <color indexed="17"/>
      <name val="ＭＳ Ｐゴシック"/>
      <family val="3"/>
      <charset val="128"/>
    </font>
    <font>
      <sz val="10"/>
      <color indexed="17"/>
      <name val="ＭＳ Ｐゴシック"/>
      <family val="3"/>
      <charset val="128"/>
    </font>
    <font>
      <sz val="8"/>
      <color indexed="17"/>
      <name val="ＭＳ Ｐゴシック"/>
      <family val="3"/>
      <charset val="128"/>
    </font>
    <font>
      <sz val="9"/>
      <color indexed="17"/>
      <name val="ＭＳ Ｐゴシック"/>
      <family val="3"/>
      <charset val="128"/>
    </font>
    <font>
      <vertAlign val="superscript"/>
      <sz val="10"/>
      <color indexed="10"/>
      <name val="ＭＳ Ｐゴシック"/>
      <family val="3"/>
      <charset val="128"/>
    </font>
    <font>
      <sz val="10"/>
      <color indexed="10"/>
      <name val="ＭＳ Ｐゴシック"/>
      <family val="3"/>
      <charset val="128"/>
    </font>
    <font>
      <sz val="9"/>
      <name val="ＭＳ Ｐゴシック"/>
      <family val="3"/>
      <charset val="128"/>
    </font>
    <font>
      <sz val="9"/>
      <color indexed="17"/>
      <name val="ＭＳ Ｐ明朝"/>
      <family val="1"/>
      <charset val="128"/>
    </font>
    <font>
      <sz val="9"/>
      <color indexed="63"/>
      <name val="ＭＳ Ｐゴシック"/>
      <family val="3"/>
      <charset val="128"/>
    </font>
    <font>
      <sz val="10"/>
      <color indexed="63"/>
      <name val="ＭＳ Ｐゴシック"/>
      <family val="3"/>
      <charset val="128"/>
    </font>
    <font>
      <sz val="9"/>
      <color indexed="63"/>
      <name val="ＭＳ Ｐ明朝"/>
      <family val="1"/>
      <charset val="128"/>
    </font>
    <font>
      <sz val="12"/>
      <color indexed="8"/>
      <name val="ＭＳ Ｐ明朝"/>
      <family val="1"/>
      <charset val="128"/>
    </font>
    <font>
      <sz val="9"/>
      <color indexed="8"/>
      <name val="ＭＳ Ｐゴシック"/>
      <family val="3"/>
      <charset val="128"/>
    </font>
    <font>
      <sz val="11"/>
      <color indexed="17"/>
      <name val="ＭＳ Ｐ明朝"/>
      <family val="1"/>
      <charset val="128"/>
    </font>
    <font>
      <sz val="11"/>
      <color indexed="10"/>
      <name val="ＭＳ Ｐゴシック"/>
      <family val="3"/>
      <charset val="128"/>
    </font>
    <font>
      <sz val="11"/>
      <color indexed="63"/>
      <name val="ＭＳ Ｐゴシック"/>
      <family val="3"/>
      <charset val="128"/>
    </font>
    <font>
      <sz val="10"/>
      <color indexed="63"/>
      <name val="ＭＳ Ｐ明朝"/>
      <family val="1"/>
      <charset val="128"/>
    </font>
    <font>
      <sz val="10"/>
      <color indexed="17"/>
      <name val="ＭＳ Ｐ明朝"/>
      <family val="1"/>
      <charset val="128"/>
    </font>
    <font>
      <sz val="9"/>
      <color indexed="57"/>
      <name val="ＭＳ Ｐ明朝"/>
      <family val="1"/>
      <charset val="128"/>
    </font>
    <font>
      <sz val="8"/>
      <color indexed="63"/>
      <name val="ＭＳ Ｐゴシック"/>
      <family val="3"/>
      <charset val="128"/>
    </font>
    <font>
      <sz val="8"/>
      <color indexed="8"/>
      <name val="ＭＳ Ｐゴシック"/>
      <family val="3"/>
      <charset val="128"/>
    </font>
    <font>
      <sz val="10"/>
      <color indexed="8"/>
      <name val="ＭＳ Ｐ明朝"/>
      <family val="1"/>
      <charset val="128"/>
    </font>
    <font>
      <sz val="9.5"/>
      <color indexed="17"/>
      <name val="ＭＳ Ｐゴシック"/>
      <family val="3"/>
      <charset val="128"/>
    </font>
    <font>
      <vertAlign val="superscript"/>
      <sz val="9"/>
      <name val="ＭＳ Ｐゴシック"/>
      <family val="3"/>
      <charset val="128"/>
    </font>
    <font>
      <sz val="7.5"/>
      <color indexed="17"/>
      <name val="ＭＳ Ｐゴシック"/>
      <family val="3"/>
      <charset val="128"/>
    </font>
    <font>
      <sz val="10"/>
      <color indexed="8"/>
      <name val="ＭＳ Ｐゴシック"/>
      <family val="3"/>
      <charset val="128"/>
    </font>
    <font>
      <b/>
      <sz val="12"/>
      <color indexed="8"/>
      <name val="ＭＳ Ｐ明朝"/>
      <family val="1"/>
      <charset val="128"/>
    </font>
    <font>
      <sz val="9"/>
      <color indexed="8"/>
      <name val="ＭＳ Ｐ明朝"/>
      <family val="1"/>
      <charset val="128"/>
    </font>
    <font>
      <sz val="8"/>
      <color indexed="10"/>
      <name val="ＭＳ Ｐゴシック"/>
      <family val="3"/>
      <charset val="128"/>
    </font>
    <font>
      <sz val="6"/>
      <name val="ＭＳ Ｐ明朝"/>
      <family val="1"/>
      <charset val="128"/>
    </font>
    <font>
      <sz val="6"/>
      <color indexed="63"/>
      <name val="ＭＳ Ｐゴシック"/>
      <family val="3"/>
      <charset val="128"/>
    </font>
    <font>
      <b/>
      <u/>
      <sz val="12"/>
      <name val="ＭＳ Ｐゴシック"/>
      <family val="3"/>
      <charset val="128"/>
    </font>
    <font>
      <vertAlign val="subscript"/>
      <sz val="11"/>
      <name val="ＭＳ Ｐ明朝"/>
      <family val="1"/>
      <charset val="128"/>
    </font>
    <font>
      <b/>
      <sz val="9"/>
      <color indexed="81"/>
      <name val="ＭＳ Ｐゴシック"/>
      <family val="3"/>
      <charset val="128"/>
    </font>
    <font>
      <b/>
      <sz val="11"/>
      <name val="ＭＳ Ｐ明朝"/>
      <family val="1"/>
      <charset val="128"/>
    </font>
    <font>
      <sz val="14"/>
      <name val="ＭＳ Ｐ明朝"/>
      <family val="1"/>
      <charset val="128"/>
    </font>
    <font>
      <sz val="11"/>
      <color theme="1"/>
      <name val="ＭＳ Ｐゴシック"/>
      <family val="3"/>
      <charset val="128"/>
    </font>
    <font>
      <sz val="11"/>
      <color rgb="FFFF0000"/>
      <name val="ＭＳ Ｐゴシック"/>
      <family val="3"/>
      <charset val="128"/>
    </font>
    <font>
      <sz val="8"/>
      <color rgb="FFFF0000"/>
      <name val="ＭＳ Ｐ明朝"/>
      <family val="1"/>
      <charset val="128"/>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15"/>
        <bgColor indexed="64"/>
      </patternFill>
    </fill>
    <fill>
      <patternFill patternType="solid">
        <fgColor indexed="22"/>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s>
  <borders count="142">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hair">
        <color indexed="64"/>
      </left>
      <right style="double">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double">
        <color indexed="64"/>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diagonalUp="1" diagonalDown="1">
      <left style="hair">
        <color indexed="64"/>
      </left>
      <right style="hair">
        <color indexed="64"/>
      </right>
      <top style="hair">
        <color indexed="64"/>
      </top>
      <bottom style="hair">
        <color indexed="64"/>
      </bottom>
      <diagonal style="hair">
        <color indexed="64"/>
      </diagonal>
    </border>
    <border diagonalUp="1" diagonalDown="1">
      <left style="hair">
        <color indexed="64"/>
      </left>
      <right style="thin">
        <color indexed="64"/>
      </right>
      <top style="hair">
        <color indexed="64"/>
      </top>
      <bottom style="hair">
        <color indexed="64"/>
      </bottom>
      <diagonal style="hair">
        <color indexed="64"/>
      </diagonal>
    </border>
    <border>
      <left style="double">
        <color indexed="64"/>
      </left>
      <right style="hair">
        <color indexed="64"/>
      </right>
      <top style="hair">
        <color indexed="64"/>
      </top>
      <bottom/>
      <diagonal/>
    </border>
    <border>
      <left style="double">
        <color indexed="64"/>
      </left>
      <right style="hair">
        <color indexed="64"/>
      </right>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double">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top/>
      <bottom style="double">
        <color indexed="64"/>
      </bottom>
      <diagonal/>
    </border>
    <border>
      <left style="double">
        <color indexed="64"/>
      </left>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thin">
        <color indexed="64"/>
      </left>
      <right style="double">
        <color indexed="64"/>
      </right>
      <top/>
      <bottom style="double">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top/>
      <bottom/>
      <diagonal/>
    </border>
    <border>
      <left style="double">
        <color indexed="64"/>
      </left>
      <right style="double">
        <color indexed="64"/>
      </right>
      <top style="thin">
        <color indexed="64"/>
      </top>
      <bottom style="thin">
        <color indexed="64"/>
      </bottom>
      <diagonal/>
    </border>
    <border>
      <left style="double">
        <color indexed="64"/>
      </left>
      <right/>
      <top style="double">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style="hair">
        <color indexed="64"/>
      </left>
      <right/>
      <top style="hair">
        <color indexed="64"/>
      </top>
      <bottom style="hair">
        <color indexed="64"/>
      </bottom>
      <diagonal/>
    </border>
    <border>
      <left style="hair">
        <color indexed="64"/>
      </left>
      <right/>
      <top/>
      <bottom style="double">
        <color indexed="64"/>
      </bottom>
      <diagonal/>
    </border>
    <border>
      <left/>
      <right style="thin">
        <color indexed="64"/>
      </right>
      <top/>
      <bottom style="double">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style="thin">
        <color indexed="64"/>
      </bottom>
      <diagonal/>
    </border>
    <border>
      <left style="double">
        <color indexed="64"/>
      </left>
      <right style="thin">
        <color indexed="64"/>
      </right>
      <top style="hair">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uble">
        <color indexed="64"/>
      </left>
      <right style="thin">
        <color indexed="64"/>
      </right>
      <top/>
      <bottom style="hair">
        <color indexed="64"/>
      </bottom>
      <diagonal/>
    </border>
    <border>
      <left style="thin">
        <color indexed="64"/>
      </left>
      <right style="double">
        <color indexed="64"/>
      </right>
      <top style="hair">
        <color indexed="64"/>
      </top>
      <bottom/>
      <diagonal/>
    </border>
    <border>
      <left style="thin">
        <color indexed="64"/>
      </left>
      <right style="double">
        <color indexed="64"/>
      </right>
      <top/>
      <bottom style="hair">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hair">
        <color indexed="64"/>
      </top>
      <bottom/>
      <diagonal/>
    </border>
    <border>
      <left/>
      <right style="double">
        <color indexed="64"/>
      </right>
      <top style="hair">
        <color indexed="64"/>
      </top>
      <bottom/>
      <diagonal/>
    </border>
    <border>
      <left/>
      <right style="double">
        <color indexed="64"/>
      </right>
      <top/>
      <bottom/>
      <diagonal/>
    </border>
    <border>
      <left style="double">
        <color indexed="64"/>
      </left>
      <right/>
      <top/>
      <bottom style="hair">
        <color indexed="64"/>
      </bottom>
      <diagonal/>
    </border>
    <border>
      <left/>
      <right style="double">
        <color indexed="64"/>
      </right>
      <top style="thin">
        <color indexed="64"/>
      </top>
      <bottom/>
      <diagonal/>
    </border>
    <border>
      <left/>
      <right style="double">
        <color indexed="64"/>
      </right>
      <top/>
      <bottom style="hair">
        <color indexed="64"/>
      </bottom>
      <diagonal/>
    </border>
    <border>
      <left style="thin">
        <color indexed="64"/>
      </left>
      <right/>
      <top style="double">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s>
  <cellStyleXfs count="3">
    <xf numFmtId="0" fontId="0" fillId="0" borderId="0"/>
    <xf numFmtId="38" fontId="1" fillId="0" borderId="0" applyFont="0" applyFill="0" applyBorder="0" applyAlignment="0" applyProtection="0"/>
    <xf numFmtId="0" fontId="1" fillId="0" borderId="0"/>
  </cellStyleXfs>
  <cellXfs count="828">
    <xf numFmtId="0" fontId="0" fillId="0" borderId="0" xfId="0"/>
    <xf numFmtId="0" fontId="3" fillId="0" borderId="0" xfId="0" applyFont="1"/>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9" fillId="0" borderId="3" xfId="0" applyFont="1" applyBorder="1"/>
    <xf numFmtId="0" fontId="3" fillId="0" borderId="6" xfId="0" applyFont="1" applyBorder="1"/>
    <xf numFmtId="0" fontId="9" fillId="0" borderId="6" xfId="0" applyFont="1" applyBorder="1" applyAlignment="1">
      <alignment horizontal="center"/>
    </xf>
    <xf numFmtId="0" fontId="9" fillId="0" borderId="4" xfId="0" applyFont="1" applyBorder="1"/>
    <xf numFmtId="0" fontId="9" fillId="0" borderId="5" xfId="0" applyFont="1" applyBorder="1"/>
    <xf numFmtId="0" fontId="11" fillId="0" borderId="4" xfId="0" applyFont="1" applyBorder="1"/>
    <xf numFmtId="179" fontId="9" fillId="0" borderId="6" xfId="0" applyNumberFormat="1" applyFont="1" applyBorder="1" applyAlignment="1">
      <alignment horizontal="center"/>
    </xf>
    <xf numFmtId="0" fontId="10" fillId="0" borderId="0" xfId="0" applyFont="1"/>
    <xf numFmtId="0" fontId="10" fillId="0" borderId="4" xfId="0" applyFont="1" applyBorder="1"/>
    <xf numFmtId="0" fontId="30" fillId="0" borderId="7" xfId="0" applyFont="1" applyBorder="1" applyAlignment="1">
      <alignment horizontal="distributed" vertical="center"/>
    </xf>
    <xf numFmtId="0" fontId="30" fillId="0" borderId="8" xfId="0" applyFont="1" applyBorder="1" applyAlignment="1">
      <alignment horizontal="distributed" vertical="center"/>
    </xf>
    <xf numFmtId="0" fontId="30" fillId="0" borderId="9" xfId="0" applyFont="1" applyBorder="1" applyAlignment="1">
      <alignment horizontal="distributed" vertical="center"/>
    </xf>
    <xf numFmtId="0" fontId="3" fillId="2" borderId="0" xfId="0" applyFont="1" applyFill="1" applyAlignment="1">
      <alignment vertical="center"/>
    </xf>
    <xf numFmtId="0" fontId="3" fillId="0" borderId="0" xfId="0" applyFont="1" applyAlignment="1">
      <alignment vertical="center"/>
    </xf>
    <xf numFmtId="0" fontId="32" fillId="0" borderId="10" xfId="0" applyFont="1" applyBorder="1" applyAlignment="1">
      <alignment horizontal="center"/>
    </xf>
    <xf numFmtId="2" fontId="32" fillId="0" borderId="11" xfId="0" applyNumberFormat="1" applyFont="1" applyBorder="1" applyAlignment="1">
      <alignment horizontal="center" vertical="center"/>
    </xf>
    <xf numFmtId="2" fontId="32" fillId="0" borderId="12" xfId="0" applyNumberFormat="1" applyFont="1" applyBorder="1" applyAlignment="1" applyProtection="1">
      <alignment horizontal="center" vertical="center"/>
      <protection locked="0"/>
    </xf>
    <xf numFmtId="1" fontId="3" fillId="3" borderId="10" xfId="0" applyNumberFormat="1" applyFont="1" applyFill="1" applyBorder="1" applyAlignment="1" applyProtection="1">
      <alignment horizontal="center" vertical="center"/>
      <protection locked="0"/>
    </xf>
    <xf numFmtId="0" fontId="21" fillId="2" borderId="0" xfId="0" applyFont="1" applyFill="1" applyAlignment="1">
      <alignment vertical="center"/>
    </xf>
    <xf numFmtId="0" fontId="1" fillId="2" borderId="0" xfId="0" applyFont="1" applyFill="1" applyAlignment="1">
      <alignment vertical="center"/>
    </xf>
    <xf numFmtId="0" fontId="32" fillId="2" borderId="0" xfId="0" applyFont="1" applyFill="1" applyAlignment="1">
      <alignment vertical="center"/>
    </xf>
    <xf numFmtId="0" fontId="34" fillId="2" borderId="0" xfId="0" applyFont="1" applyFill="1" applyAlignment="1">
      <alignment vertical="center"/>
    </xf>
    <xf numFmtId="0" fontId="3" fillId="3" borderId="6" xfId="0" applyFont="1" applyFill="1" applyBorder="1" applyAlignment="1" applyProtection="1">
      <alignment horizontal="center" vertical="center"/>
      <protection locked="0"/>
    </xf>
    <xf numFmtId="0" fontId="36" fillId="2" borderId="0" xfId="0" applyFont="1" applyFill="1" applyAlignment="1">
      <alignment vertical="center"/>
    </xf>
    <xf numFmtId="1" fontId="3" fillId="3" borderId="13" xfId="0" applyNumberFormat="1" applyFont="1" applyFill="1" applyBorder="1" applyAlignment="1" applyProtection="1">
      <alignment horizontal="center" vertical="center"/>
      <protection locked="0"/>
    </xf>
    <xf numFmtId="0" fontId="10" fillId="2" borderId="0" xfId="0" applyFont="1" applyFill="1" applyAlignment="1">
      <alignment horizontal="left" vertical="center"/>
    </xf>
    <xf numFmtId="0" fontId="9" fillId="2" borderId="0" xfId="0" applyFont="1" applyFill="1" applyAlignment="1">
      <alignment vertical="center"/>
    </xf>
    <xf numFmtId="0" fontId="32" fillId="0" borderId="14" xfId="0" applyFont="1" applyBorder="1" applyAlignment="1">
      <alignment horizontal="center"/>
    </xf>
    <xf numFmtId="177" fontId="38" fillId="2" borderId="0" xfId="0" applyNumberFormat="1" applyFont="1" applyFill="1" applyAlignment="1">
      <alignment vertical="center"/>
    </xf>
    <xf numFmtId="0" fontId="32" fillId="2" borderId="0" xfId="0" applyFont="1" applyFill="1" applyAlignment="1">
      <alignment horizontal="center" vertical="center"/>
    </xf>
    <xf numFmtId="0" fontId="10" fillId="2" borderId="0" xfId="0" applyFont="1" applyFill="1" applyAlignment="1">
      <alignment vertical="center"/>
    </xf>
    <xf numFmtId="0" fontId="39" fillId="2" borderId="0" xfId="0" applyFont="1" applyFill="1"/>
    <xf numFmtId="0" fontId="1" fillId="0" borderId="3" xfId="0" applyFont="1" applyBorder="1" applyAlignment="1">
      <alignment horizontal="center" vertical="center"/>
    </xf>
    <xf numFmtId="0" fontId="1" fillId="2" borderId="5" xfId="0" applyFont="1" applyFill="1" applyBorder="1" applyAlignment="1">
      <alignment horizontal="center" vertical="center"/>
    </xf>
    <xf numFmtId="0" fontId="9" fillId="2" borderId="0" xfId="0" applyFont="1" applyFill="1" applyAlignment="1">
      <alignment horizontal="center" vertical="center"/>
    </xf>
    <xf numFmtId="0" fontId="41" fillId="2" borderId="0" xfId="0" applyFont="1" applyFill="1" applyAlignment="1">
      <alignment vertical="center"/>
    </xf>
    <xf numFmtId="3" fontId="39" fillId="2" borderId="0" xfId="0" applyNumberFormat="1" applyFont="1" applyFill="1" applyAlignment="1">
      <alignment horizontal="center"/>
    </xf>
    <xf numFmtId="0" fontId="10" fillId="2" borderId="15" xfId="0" applyFont="1" applyFill="1" applyBorder="1" applyAlignment="1">
      <alignment vertical="center"/>
    </xf>
    <xf numFmtId="0" fontId="10" fillId="2" borderId="12" xfId="0" applyFont="1" applyFill="1" applyBorder="1" applyAlignment="1">
      <alignment vertical="center"/>
    </xf>
    <xf numFmtId="0" fontId="44" fillId="2" borderId="0" xfId="0" applyFont="1" applyFill="1" applyAlignment="1">
      <alignment vertical="center"/>
    </xf>
    <xf numFmtId="0" fontId="49" fillId="2" borderId="0" xfId="0" applyFont="1" applyFill="1" applyAlignment="1">
      <alignment vertical="center"/>
    </xf>
    <xf numFmtId="2" fontId="32" fillId="0" borderId="16" xfId="0" applyNumberFormat="1" applyFont="1" applyBorder="1" applyAlignment="1">
      <alignment horizontal="center" vertical="center"/>
    </xf>
    <xf numFmtId="0" fontId="29" fillId="2" borderId="0" xfId="0" applyFont="1" applyFill="1" applyAlignment="1">
      <alignment horizontal="center" vertical="center"/>
    </xf>
    <xf numFmtId="0" fontId="21" fillId="2" borderId="5" xfId="0" applyFont="1" applyFill="1" applyBorder="1" applyAlignment="1">
      <alignment horizontal="center" vertical="center"/>
    </xf>
    <xf numFmtId="0" fontId="21" fillId="2" borderId="5" xfId="0" applyFont="1" applyFill="1" applyBorder="1" applyAlignment="1">
      <alignment vertical="center"/>
    </xf>
    <xf numFmtId="0" fontId="11" fillId="0" borderId="17" xfId="0" applyFont="1" applyBorder="1" applyAlignment="1">
      <alignment vertical="center"/>
    </xf>
    <xf numFmtId="0" fontId="50" fillId="0" borderId="18" xfId="0" applyFont="1" applyBorder="1" applyAlignment="1">
      <alignment vertical="center"/>
    </xf>
    <xf numFmtId="0" fontId="33" fillId="0" borderId="19" xfId="0" applyFont="1" applyBorder="1" applyAlignment="1">
      <alignment vertical="center"/>
    </xf>
    <xf numFmtId="0" fontId="0" fillId="2" borderId="0" xfId="0" applyFill="1"/>
    <xf numFmtId="0" fontId="43" fillId="0" borderId="20" xfId="0" applyFont="1" applyBorder="1" applyAlignment="1">
      <alignment horizontal="center" vertical="center"/>
    </xf>
    <xf numFmtId="0" fontId="43" fillId="0" borderId="1" xfId="0" applyFont="1" applyBorder="1" applyAlignment="1">
      <alignment horizontal="center" vertical="center"/>
    </xf>
    <xf numFmtId="38" fontId="32" fillId="2" borderId="0" xfId="1" applyFont="1" applyFill="1" applyBorder="1" applyAlignment="1" applyProtection="1">
      <alignment horizontal="center" vertical="center"/>
    </xf>
    <xf numFmtId="0" fontId="0" fillId="2" borderId="21" xfId="0" applyFill="1" applyBorder="1" applyAlignment="1">
      <alignment horizontal="center"/>
    </xf>
    <xf numFmtId="38" fontId="32" fillId="0" borderId="11" xfId="1" applyFont="1" applyFill="1" applyBorder="1" applyAlignment="1" applyProtection="1">
      <alignment horizontal="center" vertical="center"/>
    </xf>
    <xf numFmtId="38" fontId="32" fillId="0" borderId="16" xfId="1" applyFont="1" applyFill="1" applyBorder="1" applyAlignment="1" applyProtection="1">
      <alignment horizontal="center" vertical="center"/>
    </xf>
    <xf numFmtId="38" fontId="32" fillId="0" borderId="22" xfId="1" applyFont="1" applyFill="1" applyBorder="1" applyAlignment="1" applyProtection="1">
      <alignment horizontal="center" vertical="center"/>
    </xf>
    <xf numFmtId="38" fontId="32" fillId="0" borderId="23" xfId="1" applyFont="1" applyFill="1" applyBorder="1" applyAlignment="1" applyProtection="1">
      <alignment horizontal="center" vertical="center"/>
    </xf>
    <xf numFmtId="0" fontId="0" fillId="2" borderId="1" xfId="0" applyFill="1" applyBorder="1"/>
    <xf numFmtId="2" fontId="32" fillId="0" borderId="24" xfId="0" applyNumberFormat="1" applyFont="1" applyBorder="1" applyAlignment="1" applyProtection="1">
      <alignment horizontal="center" vertical="center"/>
      <protection locked="0"/>
    </xf>
    <xf numFmtId="2" fontId="32" fillId="0" borderId="25" xfId="0" applyNumberFormat="1" applyFont="1" applyBorder="1" applyAlignment="1" applyProtection="1">
      <alignment horizontal="center" vertical="center"/>
      <protection locked="0"/>
    </xf>
    <xf numFmtId="1" fontId="32" fillId="0" borderId="26" xfId="0" applyNumberFormat="1" applyFont="1" applyBorder="1" applyAlignment="1">
      <alignment horizontal="center" vertical="center"/>
    </xf>
    <xf numFmtId="1" fontId="32" fillId="0" borderId="27" xfId="0" applyNumberFormat="1" applyFont="1" applyBorder="1" applyAlignment="1">
      <alignment horizontal="center" vertical="center"/>
    </xf>
    <xf numFmtId="1" fontId="32" fillId="0" borderId="28" xfId="0" applyNumberFormat="1" applyFont="1" applyBorder="1" applyAlignment="1">
      <alignment horizontal="center" vertical="center"/>
    </xf>
    <xf numFmtId="0" fontId="33" fillId="0" borderId="29" xfId="0" applyFont="1" applyBorder="1" applyAlignment="1">
      <alignment vertical="center"/>
    </xf>
    <xf numFmtId="0" fontId="32" fillId="0" borderId="30" xfId="0" applyFont="1" applyBorder="1" applyAlignment="1">
      <alignment horizontal="center"/>
    </xf>
    <xf numFmtId="2" fontId="32" fillId="0" borderId="31" xfId="0" applyNumberFormat="1" applyFont="1" applyBorder="1" applyAlignment="1">
      <alignment horizontal="center" vertical="center"/>
    </xf>
    <xf numFmtId="2" fontId="32" fillId="0" borderId="15" xfId="0" applyNumberFormat="1" applyFont="1" applyBorder="1" applyAlignment="1" applyProtection="1">
      <alignment horizontal="center" vertical="center"/>
      <protection locked="0"/>
    </xf>
    <xf numFmtId="1" fontId="3" fillId="0" borderId="30" xfId="0" applyNumberFormat="1" applyFont="1" applyBorder="1" applyAlignment="1" applyProtection="1">
      <alignment horizontal="center" vertical="center"/>
      <protection locked="0"/>
    </xf>
    <xf numFmtId="2" fontId="32" fillId="0" borderId="32" xfId="0" applyNumberFormat="1" applyFont="1" applyBorder="1" applyAlignment="1" applyProtection="1">
      <alignment horizontal="center" vertical="center"/>
      <protection locked="0"/>
    </xf>
    <xf numFmtId="1" fontId="32" fillId="0" borderId="30" xfId="0" applyNumberFormat="1" applyFont="1" applyBorder="1" applyAlignment="1">
      <alignment horizontal="center" vertical="center"/>
    </xf>
    <xf numFmtId="1" fontId="32" fillId="0" borderId="33" xfId="0" applyNumberFormat="1" applyFont="1" applyBorder="1" applyAlignment="1">
      <alignment horizontal="center" vertical="center"/>
    </xf>
    <xf numFmtId="38" fontId="32" fillId="0" borderId="34" xfId="1" applyFont="1" applyFill="1" applyBorder="1" applyAlignment="1" applyProtection="1">
      <alignment horizontal="center" vertical="center"/>
    </xf>
    <xf numFmtId="0" fontId="41" fillId="0" borderId="30" xfId="0" applyFont="1" applyBorder="1" applyAlignment="1">
      <alignment vertical="center"/>
    </xf>
    <xf numFmtId="0" fontId="46" fillId="0" borderId="34" xfId="0" applyFont="1" applyBorder="1" applyAlignment="1">
      <alignment vertical="center"/>
    </xf>
    <xf numFmtId="0" fontId="47" fillId="0" borderId="34" xfId="0" applyFont="1" applyBorder="1" applyAlignment="1">
      <alignment horizontal="center" vertical="center"/>
    </xf>
    <xf numFmtId="0" fontId="40" fillId="0" borderId="31" xfId="0" applyFont="1" applyBorder="1" applyAlignment="1">
      <alignment horizontal="center" vertical="center"/>
    </xf>
    <xf numFmtId="0" fontId="39" fillId="0" borderId="10" xfId="0" applyFont="1" applyBorder="1"/>
    <xf numFmtId="38" fontId="39" fillId="0" borderId="22" xfId="1" applyFont="1" applyFill="1" applyBorder="1" applyAlignment="1" applyProtection="1">
      <alignment vertical="center"/>
    </xf>
    <xf numFmtId="38" fontId="32" fillId="0" borderId="23" xfId="1" applyFont="1" applyFill="1" applyBorder="1" applyAlignment="1" applyProtection="1">
      <alignment horizontal="right" vertical="center"/>
    </xf>
    <xf numFmtId="38" fontId="32" fillId="0" borderId="22" xfId="1" applyFont="1" applyFill="1" applyBorder="1" applyAlignment="1" applyProtection="1">
      <alignment horizontal="right" vertical="center"/>
    </xf>
    <xf numFmtId="38" fontId="32" fillId="0" borderId="35" xfId="1" applyFont="1" applyFill="1" applyBorder="1" applyAlignment="1" applyProtection="1">
      <alignment horizontal="right" vertical="center"/>
    </xf>
    <xf numFmtId="38" fontId="32" fillId="0" borderId="36" xfId="1" applyFont="1" applyFill="1" applyBorder="1" applyAlignment="1" applyProtection="1">
      <alignment horizontal="right" vertical="center"/>
    </xf>
    <xf numFmtId="0" fontId="10" fillId="2" borderId="24" xfId="0" applyFont="1" applyFill="1" applyBorder="1" applyAlignment="1">
      <alignment vertical="center"/>
    </xf>
    <xf numFmtId="38" fontId="32" fillId="0" borderId="37" xfId="1" applyFont="1" applyFill="1" applyBorder="1" applyAlignment="1" applyProtection="1">
      <alignment horizontal="center" vertical="center"/>
    </xf>
    <xf numFmtId="38" fontId="32" fillId="0" borderId="35" xfId="1" applyFont="1" applyFill="1" applyBorder="1" applyAlignment="1" applyProtection="1">
      <alignment horizontal="center" vertical="center"/>
    </xf>
    <xf numFmtId="0" fontId="21" fillId="0" borderId="0" xfId="0" applyFont="1"/>
    <xf numFmtId="0" fontId="31" fillId="2" borderId="0" xfId="0" applyFont="1" applyFill="1"/>
    <xf numFmtId="0" fontId="21" fillId="2" borderId="0" xfId="0" applyFont="1" applyFill="1"/>
    <xf numFmtId="3" fontId="3" fillId="0" borderId="4" xfId="0" applyNumberFormat="1" applyFont="1" applyBorder="1"/>
    <xf numFmtId="3" fontId="3" fillId="0" borderId="5" xfId="0" applyNumberFormat="1" applyFont="1" applyBorder="1"/>
    <xf numFmtId="0" fontId="3" fillId="0" borderId="20" xfId="0" applyFont="1" applyBorder="1"/>
    <xf numFmtId="0" fontId="3" fillId="0" borderId="38" xfId="0" applyFont="1" applyBorder="1"/>
    <xf numFmtId="0" fontId="3" fillId="0" borderId="39" xfId="0" applyFont="1" applyBorder="1"/>
    <xf numFmtId="0" fontId="3" fillId="0" borderId="40" xfId="0" applyFont="1" applyBorder="1"/>
    <xf numFmtId="0" fontId="3" fillId="0" borderId="41" xfId="0" applyFont="1" applyBorder="1"/>
    <xf numFmtId="0" fontId="3" fillId="0" borderId="42" xfId="0" applyFont="1" applyBorder="1"/>
    <xf numFmtId="0" fontId="3" fillId="0" borderId="43" xfId="0" applyFont="1" applyBorder="1"/>
    <xf numFmtId="0" fontId="3" fillId="0" borderId="44" xfId="0" applyFont="1" applyBorder="1"/>
    <xf numFmtId="0" fontId="11" fillId="2" borderId="0" xfId="0" applyFont="1" applyFill="1" applyAlignment="1">
      <alignment vertical="center"/>
    </xf>
    <xf numFmtId="0" fontId="31" fillId="0" borderId="0" xfId="0" applyFont="1"/>
    <xf numFmtId="1" fontId="3" fillId="0" borderId="6" xfId="0" applyNumberFormat="1" applyFont="1" applyBorder="1" applyAlignment="1">
      <alignment horizontal="center"/>
    </xf>
    <xf numFmtId="177" fontId="10" fillId="0" borderId="6" xfId="0" applyNumberFormat="1" applyFont="1" applyBorder="1" applyAlignment="1">
      <alignment horizontal="center"/>
    </xf>
    <xf numFmtId="0" fontId="48" fillId="0" borderId="0" xfId="0" applyFont="1" applyAlignment="1">
      <alignment vertical="center"/>
    </xf>
    <xf numFmtId="0" fontId="10" fillId="2" borderId="0" xfId="0" applyFont="1" applyFill="1" applyAlignment="1" applyProtection="1">
      <alignment horizontal="left" vertical="center"/>
      <protection locked="0"/>
    </xf>
    <xf numFmtId="0" fontId="3" fillId="0" borderId="0" xfId="0" applyFont="1" applyAlignment="1">
      <alignment horizontal="right"/>
    </xf>
    <xf numFmtId="0" fontId="48" fillId="0" borderId="45" xfId="0" applyFont="1" applyBorder="1" applyAlignment="1">
      <alignment horizontal="center" vertical="center"/>
    </xf>
    <xf numFmtId="0" fontId="32" fillId="0" borderId="46" xfId="0" applyFont="1" applyBorder="1" applyAlignment="1">
      <alignment horizontal="center" vertical="center"/>
    </xf>
    <xf numFmtId="0" fontId="3" fillId="2" borderId="0" xfId="0" applyFont="1" applyFill="1"/>
    <xf numFmtId="0" fontId="9" fillId="2" borderId="3" xfId="0" applyFont="1" applyFill="1" applyBorder="1"/>
    <xf numFmtId="0" fontId="9" fillId="2" borderId="4" xfId="0" applyFont="1" applyFill="1" applyBorder="1"/>
    <xf numFmtId="0" fontId="10" fillId="2" borderId="3" xfId="0" applyFont="1" applyFill="1" applyBorder="1"/>
    <xf numFmtId="0" fontId="3" fillId="2" borderId="4" xfId="0" applyFont="1" applyFill="1" applyBorder="1"/>
    <xf numFmtId="0" fontId="3" fillId="2" borderId="3" xfId="0" applyFont="1" applyFill="1" applyBorder="1"/>
    <xf numFmtId="0" fontId="3" fillId="2" borderId="1" xfId="0" applyFont="1" applyFill="1" applyBorder="1"/>
    <xf numFmtId="0" fontId="3" fillId="2" borderId="5" xfId="0" applyFont="1" applyFill="1" applyBorder="1"/>
    <xf numFmtId="0" fontId="9" fillId="2" borderId="0" xfId="0" applyFont="1" applyFill="1"/>
    <xf numFmtId="0" fontId="3" fillId="2" borderId="47" xfId="0" applyFont="1" applyFill="1" applyBorder="1"/>
    <xf numFmtId="0" fontId="3" fillId="2" borderId="20" xfId="0" applyFont="1" applyFill="1" applyBorder="1"/>
    <xf numFmtId="0" fontId="3" fillId="2" borderId="39" xfId="0" applyFont="1" applyFill="1" applyBorder="1"/>
    <xf numFmtId="0" fontId="3" fillId="2" borderId="40" xfId="0" applyFont="1" applyFill="1" applyBorder="1"/>
    <xf numFmtId="0" fontId="3" fillId="2" borderId="41" xfId="0" applyFont="1" applyFill="1" applyBorder="1"/>
    <xf numFmtId="0" fontId="3" fillId="2" borderId="48" xfId="0" applyFont="1" applyFill="1" applyBorder="1"/>
    <xf numFmtId="0" fontId="3" fillId="2" borderId="2" xfId="0" applyFont="1" applyFill="1" applyBorder="1"/>
    <xf numFmtId="0" fontId="3" fillId="2" borderId="43" xfId="0" applyFont="1" applyFill="1" applyBorder="1"/>
    <xf numFmtId="0" fontId="10" fillId="2" borderId="0" xfId="0" applyFont="1" applyFill="1"/>
    <xf numFmtId="0" fontId="3" fillId="2" borderId="47" xfId="0" applyFont="1" applyFill="1" applyBorder="1" applyAlignment="1">
      <alignment horizontal="left" vertical="center"/>
    </xf>
    <xf numFmtId="0" fontId="10" fillId="2" borderId="1" xfId="0" applyFont="1" applyFill="1" applyBorder="1" applyAlignment="1">
      <alignment horizontal="left" vertical="center"/>
    </xf>
    <xf numFmtId="0" fontId="3" fillId="2" borderId="1" xfId="0" applyFont="1" applyFill="1" applyBorder="1" applyAlignment="1">
      <alignment vertical="center"/>
    </xf>
    <xf numFmtId="2" fontId="10" fillId="0" borderId="6" xfId="0" applyNumberFormat="1" applyFont="1" applyBorder="1" applyAlignment="1">
      <alignment horizontal="center"/>
    </xf>
    <xf numFmtId="0" fontId="33" fillId="0" borderId="5" xfId="0" applyFont="1" applyBorder="1" applyAlignment="1">
      <alignment horizontal="center" vertical="center"/>
    </xf>
    <xf numFmtId="38" fontId="3" fillId="0" borderId="6" xfId="0" applyNumberFormat="1" applyFont="1" applyBorder="1" applyAlignment="1">
      <alignment horizontal="center"/>
    </xf>
    <xf numFmtId="0" fontId="3" fillId="0" borderId="38" xfId="0" applyFont="1" applyBorder="1" applyAlignment="1">
      <alignment horizontal="center"/>
    </xf>
    <xf numFmtId="0" fontId="3" fillId="0" borderId="44" xfId="0" applyFont="1" applyBorder="1" applyAlignment="1">
      <alignment horizontal="center"/>
    </xf>
    <xf numFmtId="0" fontId="9" fillId="3" borderId="6" xfId="0" applyFont="1" applyFill="1" applyBorder="1" applyAlignment="1" applyProtection="1">
      <alignment horizontal="center" vertical="center"/>
      <protection locked="0"/>
    </xf>
    <xf numFmtId="0" fontId="0" fillId="3" borderId="6" xfId="0" applyFill="1" applyBorder="1" applyProtection="1">
      <protection locked="0"/>
    </xf>
    <xf numFmtId="0" fontId="9" fillId="3" borderId="10"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49" xfId="0" applyFont="1" applyFill="1" applyBorder="1" applyAlignment="1" applyProtection="1">
      <alignment horizontal="center" vertical="center"/>
      <protection locked="0"/>
    </xf>
    <xf numFmtId="1" fontId="10" fillId="3" borderId="17" xfId="0" applyNumberFormat="1" applyFont="1" applyFill="1" applyBorder="1" applyAlignment="1" applyProtection="1">
      <alignment horizontal="center" vertical="center"/>
      <protection locked="0"/>
    </xf>
    <xf numFmtId="1" fontId="10" fillId="3" borderId="0" xfId="0" applyNumberFormat="1" applyFont="1" applyFill="1" applyAlignment="1" applyProtection="1">
      <alignment horizontal="center" vertical="center"/>
      <protection locked="0"/>
    </xf>
    <xf numFmtId="0" fontId="10" fillId="3" borderId="17" xfId="0" applyFont="1" applyFill="1" applyBorder="1" applyAlignment="1" applyProtection="1">
      <alignment horizontal="center" vertical="center"/>
      <protection locked="0"/>
    </xf>
    <xf numFmtId="0" fontId="37" fillId="3" borderId="50" xfId="0" applyFont="1" applyFill="1" applyBorder="1" applyAlignment="1" applyProtection="1">
      <alignment horizontal="center" vertical="center"/>
      <protection locked="0"/>
    </xf>
    <xf numFmtId="0" fontId="10" fillId="3" borderId="51"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1" fillId="3" borderId="10"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49" xfId="0" applyFont="1" applyFill="1" applyBorder="1" applyAlignment="1" applyProtection="1">
      <alignment horizontal="center" vertical="center"/>
      <protection locked="0"/>
    </xf>
    <xf numFmtId="0" fontId="3" fillId="3" borderId="30"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1" fontId="32" fillId="3" borderId="10" xfId="0" applyNumberFormat="1" applyFont="1" applyFill="1" applyBorder="1" applyAlignment="1" applyProtection="1">
      <alignment horizontal="center" vertical="center"/>
      <protection locked="0"/>
    </xf>
    <xf numFmtId="0" fontId="9" fillId="3" borderId="6" xfId="0" applyFont="1" applyFill="1" applyBorder="1" applyAlignment="1" applyProtection="1">
      <alignment vertical="center"/>
      <protection locked="0"/>
    </xf>
    <xf numFmtId="183" fontId="21" fillId="3" borderId="6" xfId="0" applyNumberFormat="1" applyFont="1" applyFill="1" applyBorder="1" applyAlignment="1" applyProtection="1">
      <alignment horizontal="center"/>
      <protection locked="0"/>
    </xf>
    <xf numFmtId="0" fontId="0" fillId="3" borderId="6" xfId="0" applyFill="1" applyBorder="1" applyAlignment="1" applyProtection="1">
      <alignment horizontal="center"/>
      <protection locked="0"/>
    </xf>
    <xf numFmtId="0" fontId="56" fillId="3" borderId="6" xfId="0" applyFont="1" applyFill="1" applyBorder="1" applyAlignment="1" applyProtection="1">
      <alignment horizontal="center" vertical="center"/>
      <protection locked="0"/>
    </xf>
    <xf numFmtId="0" fontId="10" fillId="3" borderId="6" xfId="0" applyFont="1" applyFill="1" applyBorder="1" applyAlignment="1" applyProtection="1">
      <alignment horizontal="center" vertical="center"/>
      <protection locked="0"/>
    </xf>
    <xf numFmtId="38" fontId="34" fillId="0" borderId="26" xfId="1" applyFont="1" applyFill="1" applyBorder="1" applyAlignment="1" applyProtection="1">
      <alignment horizontal="center" vertical="center"/>
    </xf>
    <xf numFmtId="38" fontId="34" fillId="0" borderId="25" xfId="1" applyFont="1" applyFill="1" applyBorder="1" applyAlignment="1" applyProtection="1">
      <alignment horizontal="center" vertical="center"/>
    </xf>
    <xf numFmtId="38" fontId="34" fillId="0" borderId="1" xfId="1" applyFont="1" applyFill="1" applyBorder="1" applyAlignment="1" applyProtection="1">
      <alignment horizontal="center" vertical="center"/>
    </xf>
    <xf numFmtId="0" fontId="34" fillId="2" borderId="0" xfId="0" applyFont="1" applyFill="1"/>
    <xf numFmtId="0" fontId="3" fillId="0" borderId="6" xfId="0" applyFont="1" applyBorder="1" applyAlignment="1" applyProtection="1">
      <alignment horizontal="center"/>
      <protection locked="0"/>
    </xf>
    <xf numFmtId="0" fontId="3" fillId="0" borderId="4" xfId="0" applyFont="1" applyBorder="1" applyProtection="1">
      <protection locked="0"/>
    </xf>
    <xf numFmtId="38" fontId="3" fillId="0" borderId="42" xfId="0" applyNumberFormat="1" applyFont="1" applyBorder="1" applyAlignment="1">
      <alignment horizontal="center"/>
    </xf>
    <xf numFmtId="0" fontId="40" fillId="0" borderId="52" xfId="0" applyFont="1" applyBorder="1" applyAlignment="1">
      <alignment horizontal="center" vertical="center"/>
    </xf>
    <xf numFmtId="0" fontId="40" fillId="0" borderId="53" xfId="0" applyFont="1" applyBorder="1" applyAlignment="1">
      <alignment horizontal="center" vertical="center"/>
    </xf>
    <xf numFmtId="0" fontId="39" fillId="0" borderId="14" xfId="0" applyFont="1" applyBorder="1"/>
    <xf numFmtId="0" fontId="41" fillId="0" borderId="54" xfId="0" applyFont="1" applyBorder="1" applyAlignment="1">
      <alignment vertical="center"/>
    </xf>
    <xf numFmtId="3" fontId="39" fillId="0" borderId="55" xfId="0" applyNumberFormat="1" applyFont="1" applyBorder="1" applyAlignment="1">
      <alignment horizontal="center"/>
    </xf>
    <xf numFmtId="3" fontId="39" fillId="0" borderId="56" xfId="0" applyNumberFormat="1" applyFont="1" applyBorder="1" applyAlignment="1">
      <alignment horizontal="center"/>
    </xf>
    <xf numFmtId="0" fontId="40" fillId="0" borderId="56" xfId="0" applyFont="1" applyBorder="1" applyAlignment="1">
      <alignment horizontal="center" vertical="center"/>
    </xf>
    <xf numFmtId="0" fontId="40" fillId="0" borderId="57" xfId="0" applyFont="1" applyBorder="1" applyAlignment="1">
      <alignment horizontal="center" vertical="center"/>
    </xf>
    <xf numFmtId="38" fontId="32" fillId="0" borderId="58" xfId="1" applyFont="1" applyFill="1" applyBorder="1" applyAlignment="1" applyProtection="1">
      <alignment horizontal="center" vertical="center"/>
    </xf>
    <xf numFmtId="38" fontId="32" fillId="0" borderId="59" xfId="1" applyFont="1" applyFill="1" applyBorder="1" applyAlignment="1" applyProtection="1">
      <alignment horizontal="center" vertical="center"/>
    </xf>
    <xf numFmtId="0" fontId="13" fillId="4" borderId="0" xfId="0" applyFont="1" applyFill="1" applyAlignment="1" applyProtection="1">
      <alignment vertical="center"/>
      <protection hidden="1"/>
    </xf>
    <xf numFmtId="0" fontId="0" fillId="0" borderId="0" xfId="0" applyProtection="1">
      <protection hidden="1"/>
    </xf>
    <xf numFmtId="0" fontId="3" fillId="0" borderId="0" xfId="2" applyFont="1" applyAlignment="1" applyProtection="1">
      <alignment horizontal="center" vertical="center"/>
      <protection hidden="1"/>
    </xf>
    <xf numFmtId="0" fontId="13" fillId="0" borderId="0" xfId="0" applyFont="1" applyAlignment="1" applyProtection="1">
      <alignment vertical="center"/>
      <protection hidden="1"/>
    </xf>
    <xf numFmtId="0" fontId="13" fillId="4" borderId="0" xfId="0" applyFont="1" applyFill="1" applyAlignment="1" applyProtection="1">
      <alignment horizontal="right" vertical="center"/>
      <protection hidden="1"/>
    </xf>
    <xf numFmtId="0" fontId="15" fillId="4" borderId="6" xfId="0" applyFont="1" applyFill="1" applyBorder="1" applyAlignment="1" applyProtection="1">
      <alignment horizontal="center" vertical="center"/>
      <protection hidden="1"/>
    </xf>
    <xf numFmtId="0" fontId="13" fillId="0" borderId="61" xfId="0" applyFont="1" applyBorder="1" applyAlignment="1" applyProtection="1">
      <alignment horizontal="center" vertical="center"/>
      <protection hidden="1"/>
    </xf>
    <xf numFmtId="0" fontId="13" fillId="0" borderId="62" xfId="0" applyFont="1" applyBorder="1" applyAlignment="1" applyProtection="1">
      <alignment horizontal="center" vertical="center"/>
      <protection hidden="1"/>
    </xf>
    <xf numFmtId="0" fontId="57" fillId="4" borderId="0" xfId="0" applyFont="1" applyFill="1" applyAlignment="1" applyProtection="1">
      <alignment horizontal="center" vertical="center"/>
      <protection hidden="1"/>
    </xf>
    <xf numFmtId="0" fontId="13" fillId="4" borderId="0" xfId="0" applyFont="1" applyFill="1" applyAlignment="1" applyProtection="1">
      <alignment horizontal="center" vertical="center"/>
      <protection hidden="1"/>
    </xf>
    <xf numFmtId="0" fontId="13" fillId="0" borderId="63" xfId="0" applyFont="1" applyBorder="1" applyAlignment="1" applyProtection="1">
      <alignment horizontal="center" vertical="center"/>
      <protection hidden="1"/>
    </xf>
    <xf numFmtId="0" fontId="13" fillId="0" borderId="64" xfId="0" applyFont="1" applyBorder="1" applyAlignment="1" applyProtection="1">
      <alignment horizontal="center" vertical="center"/>
      <protection hidden="1"/>
    </xf>
    <xf numFmtId="0" fontId="13" fillId="0" borderId="65" xfId="0" applyFont="1" applyBorder="1" applyAlignment="1" applyProtection="1">
      <alignment horizontal="center" vertical="center"/>
      <protection hidden="1"/>
    </xf>
    <xf numFmtId="0" fontId="15" fillId="4" borderId="0" xfId="0" applyFont="1" applyFill="1" applyAlignment="1" applyProtection="1">
      <alignment horizontal="center" vertical="center"/>
      <protection hidden="1"/>
    </xf>
    <xf numFmtId="0" fontId="13" fillId="3" borderId="66" xfId="0" applyFont="1" applyFill="1" applyBorder="1" applyAlignment="1" applyProtection="1">
      <alignment vertical="center"/>
      <protection hidden="1"/>
    </xf>
    <xf numFmtId="0" fontId="13" fillId="3" borderId="67" xfId="0" applyFont="1" applyFill="1" applyBorder="1" applyAlignment="1" applyProtection="1">
      <alignment vertical="center"/>
      <protection hidden="1"/>
    </xf>
    <xf numFmtId="0" fontId="13" fillId="3" borderId="0" xfId="0" applyFont="1" applyFill="1" applyAlignment="1" applyProtection="1">
      <alignment vertical="center"/>
      <protection hidden="1"/>
    </xf>
    <xf numFmtId="0" fontId="13" fillId="3" borderId="68" xfId="0" applyFont="1" applyFill="1" applyBorder="1" applyAlignment="1" applyProtection="1">
      <alignment vertical="center"/>
      <protection hidden="1"/>
    </xf>
    <xf numFmtId="0" fontId="13" fillId="3" borderId="69" xfId="0" applyFont="1" applyFill="1" applyBorder="1" applyAlignment="1" applyProtection="1">
      <alignment vertical="center"/>
      <protection hidden="1"/>
    </xf>
    <xf numFmtId="0" fontId="13" fillId="0" borderId="70" xfId="0" applyFont="1" applyBorder="1" applyAlignment="1" applyProtection="1">
      <alignment vertical="center"/>
      <protection hidden="1"/>
    </xf>
    <xf numFmtId="0" fontId="13" fillId="0" borderId="71" xfId="0" applyFont="1" applyBorder="1" applyAlignment="1" applyProtection="1">
      <alignment vertical="center"/>
      <protection hidden="1"/>
    </xf>
    <xf numFmtId="0" fontId="13" fillId="0" borderId="17" xfId="0" applyFont="1" applyBorder="1" applyAlignment="1" applyProtection="1">
      <alignment vertical="center"/>
      <protection hidden="1"/>
    </xf>
    <xf numFmtId="0" fontId="13" fillId="0" borderId="72" xfId="0" applyFont="1" applyBorder="1" applyAlignment="1" applyProtection="1">
      <alignment vertical="center"/>
      <protection hidden="1"/>
    </xf>
    <xf numFmtId="0" fontId="13" fillId="3" borderId="70" xfId="0" applyFont="1" applyFill="1" applyBorder="1" applyAlignment="1" applyProtection="1">
      <alignment vertical="center"/>
      <protection hidden="1"/>
    </xf>
    <xf numFmtId="0" fontId="13" fillId="3" borderId="71" xfId="0" applyFont="1" applyFill="1" applyBorder="1" applyAlignment="1" applyProtection="1">
      <alignment vertical="center"/>
      <protection hidden="1"/>
    </xf>
    <xf numFmtId="0" fontId="13" fillId="3" borderId="17" xfId="0" applyFont="1" applyFill="1" applyBorder="1" applyAlignment="1" applyProtection="1">
      <alignment vertical="center"/>
      <protection hidden="1"/>
    </xf>
    <xf numFmtId="0" fontId="13" fillId="3" borderId="73" xfId="0" applyFont="1" applyFill="1" applyBorder="1" applyAlignment="1" applyProtection="1">
      <alignment vertical="center"/>
      <protection hidden="1"/>
    </xf>
    <xf numFmtId="0" fontId="13" fillId="3" borderId="74" xfId="0" applyFont="1" applyFill="1" applyBorder="1" applyAlignment="1" applyProtection="1">
      <alignment vertical="center"/>
      <protection hidden="1"/>
    </xf>
    <xf numFmtId="0" fontId="13" fillId="0" borderId="73" xfId="0" applyFont="1" applyBorder="1" applyAlignment="1" applyProtection="1">
      <alignment vertical="center"/>
      <protection hidden="1"/>
    </xf>
    <xf numFmtId="0" fontId="13" fillId="0" borderId="74" xfId="0" applyFont="1" applyBorder="1" applyAlignment="1" applyProtection="1">
      <alignment vertical="center"/>
      <protection hidden="1"/>
    </xf>
    <xf numFmtId="0" fontId="13" fillId="0" borderId="75" xfId="0" applyFont="1" applyBorder="1" applyAlignment="1" applyProtection="1">
      <alignment vertical="center"/>
      <protection hidden="1"/>
    </xf>
    <xf numFmtId="0" fontId="13" fillId="3" borderId="75" xfId="0" applyFont="1" applyFill="1" applyBorder="1" applyAlignment="1" applyProtection="1">
      <alignment vertical="center"/>
      <protection hidden="1"/>
    </xf>
    <xf numFmtId="0" fontId="15" fillId="4" borderId="1" xfId="0" applyFont="1" applyFill="1" applyBorder="1" applyAlignment="1" applyProtection="1">
      <alignment horizontal="center" vertical="center"/>
      <protection hidden="1"/>
    </xf>
    <xf numFmtId="0" fontId="13" fillId="0" borderId="72" xfId="0" applyFont="1" applyBorder="1" applyAlignment="1" applyProtection="1">
      <alignment horizontal="center" vertical="center"/>
      <protection hidden="1"/>
    </xf>
    <xf numFmtId="0" fontId="18" fillId="4" borderId="6" xfId="0" applyFont="1" applyFill="1" applyBorder="1" applyAlignment="1" applyProtection="1">
      <alignment horizontal="center" vertical="center"/>
      <protection hidden="1"/>
    </xf>
    <xf numFmtId="2" fontId="57" fillId="4" borderId="0" xfId="0" applyNumberFormat="1" applyFont="1" applyFill="1" applyAlignment="1" applyProtection="1">
      <alignment horizontal="center" vertical="center"/>
      <protection hidden="1"/>
    </xf>
    <xf numFmtId="0" fontId="18" fillId="4" borderId="1" xfId="0" applyFont="1" applyFill="1" applyBorder="1" applyAlignment="1" applyProtection="1">
      <alignment horizontal="center" vertical="center"/>
      <protection hidden="1"/>
    </xf>
    <xf numFmtId="0" fontId="18" fillId="4" borderId="0" xfId="0" applyFont="1" applyFill="1" applyAlignment="1" applyProtection="1">
      <alignment horizontal="center" vertical="center"/>
      <protection hidden="1"/>
    </xf>
    <xf numFmtId="0" fontId="13" fillId="3" borderId="76" xfId="0" applyFont="1" applyFill="1" applyBorder="1" applyAlignment="1" applyProtection="1">
      <alignment vertical="center"/>
      <protection hidden="1"/>
    </xf>
    <xf numFmtId="0" fontId="13" fillId="3" borderId="77" xfId="0" applyFont="1" applyFill="1" applyBorder="1" applyAlignment="1" applyProtection="1">
      <alignment vertical="center"/>
      <protection hidden="1"/>
    </xf>
    <xf numFmtId="0" fontId="13" fillId="3" borderId="78" xfId="0" applyFont="1" applyFill="1" applyBorder="1" applyAlignment="1" applyProtection="1">
      <alignment vertical="center"/>
      <protection hidden="1"/>
    </xf>
    <xf numFmtId="0" fontId="13" fillId="3" borderId="79" xfId="0" applyFont="1" applyFill="1" applyBorder="1" applyAlignment="1" applyProtection="1">
      <alignment vertical="center"/>
      <protection hidden="1"/>
    </xf>
    <xf numFmtId="0" fontId="13" fillId="3" borderId="80" xfId="0" applyFont="1" applyFill="1" applyBorder="1" applyAlignment="1" applyProtection="1">
      <alignment vertical="center"/>
      <protection hidden="1"/>
    </xf>
    <xf numFmtId="0" fontId="13" fillId="3" borderId="81" xfId="0" applyFont="1" applyFill="1" applyBorder="1" applyAlignment="1" applyProtection="1">
      <alignment vertical="center"/>
      <protection hidden="1"/>
    </xf>
    <xf numFmtId="0" fontId="13" fillId="3" borderId="82" xfId="0" applyFont="1" applyFill="1" applyBorder="1" applyAlignment="1" applyProtection="1">
      <alignment vertical="center"/>
      <protection hidden="1"/>
    </xf>
    <xf numFmtId="0" fontId="13" fillId="3" borderId="83" xfId="0" applyFont="1" applyFill="1" applyBorder="1" applyAlignment="1" applyProtection="1">
      <alignment vertical="center"/>
      <protection hidden="1"/>
    </xf>
    <xf numFmtId="0" fontId="3" fillId="0" borderId="0" xfId="0" applyFont="1" applyAlignment="1" applyProtection="1">
      <alignment vertical="center"/>
      <protection hidden="1"/>
    </xf>
    <xf numFmtId="0" fontId="3" fillId="0" borderId="0" xfId="0" applyFont="1" applyAlignment="1" applyProtection="1">
      <alignment horizontal="left" vertical="center"/>
      <protection hidden="1"/>
    </xf>
    <xf numFmtId="0" fontId="3" fillId="0" borderId="0" xfId="0" applyFont="1" applyAlignment="1" applyProtection="1">
      <alignment horizontal="right" vertical="center"/>
      <protection hidden="1"/>
    </xf>
    <xf numFmtId="0" fontId="13" fillId="0" borderId="0" xfId="0" applyFont="1" applyAlignment="1" applyProtection="1">
      <alignment horizontal="distributed" vertical="center"/>
      <protection hidden="1"/>
    </xf>
    <xf numFmtId="14" fontId="13" fillId="0" borderId="0" xfId="0" quotePrefix="1" applyNumberFormat="1" applyFont="1" applyAlignment="1" applyProtection="1">
      <alignment horizontal="right" vertical="center"/>
      <protection hidden="1"/>
    </xf>
    <xf numFmtId="0" fontId="13" fillId="0" borderId="2" xfId="0" applyFont="1" applyBorder="1" applyAlignment="1" applyProtection="1">
      <alignment horizontal="center" vertical="center"/>
      <protection hidden="1"/>
    </xf>
    <xf numFmtId="0" fontId="13" fillId="0" borderId="2" xfId="0" applyFont="1" applyBorder="1" applyAlignment="1" applyProtection="1">
      <alignment vertical="center"/>
      <protection hidden="1"/>
    </xf>
    <xf numFmtId="178" fontId="13" fillId="0" borderId="0" xfId="0" applyNumberFormat="1" applyFont="1" applyAlignment="1" applyProtection="1">
      <alignment horizontal="center" vertical="center"/>
      <protection hidden="1"/>
    </xf>
    <xf numFmtId="0" fontId="13" fillId="0" borderId="0" xfId="0" quotePrefix="1" applyFont="1" applyAlignment="1" applyProtection="1">
      <alignment horizontal="distributed" vertical="center"/>
      <protection hidden="1"/>
    </xf>
    <xf numFmtId="177" fontId="13" fillId="0" borderId="0" xfId="0" applyNumberFormat="1" applyFont="1" applyAlignment="1" applyProtection="1">
      <alignment horizontal="center" vertical="center"/>
      <protection hidden="1"/>
    </xf>
    <xf numFmtId="0" fontId="13" fillId="0" borderId="0" xfId="0" quotePrefix="1" applyFont="1" applyAlignment="1" applyProtection="1">
      <alignment horizontal="left" vertical="center"/>
      <protection hidden="1"/>
    </xf>
    <xf numFmtId="1" fontId="13" fillId="0" borderId="0" xfId="0" applyNumberFormat="1" applyFont="1" applyAlignment="1" applyProtection="1">
      <alignment horizontal="center" vertical="center"/>
      <protection hidden="1"/>
    </xf>
    <xf numFmtId="1" fontId="13" fillId="0" borderId="3" xfId="0" applyNumberFormat="1" applyFont="1" applyBorder="1" applyAlignment="1" applyProtection="1">
      <alignment vertical="center"/>
      <protection hidden="1"/>
    </xf>
    <xf numFmtId="0" fontId="13" fillId="0" borderId="3" xfId="0" applyFont="1" applyBorder="1" applyAlignment="1" applyProtection="1">
      <alignment vertical="center"/>
      <protection hidden="1"/>
    </xf>
    <xf numFmtId="0" fontId="15" fillId="0" borderId="0" xfId="0" applyFont="1" applyAlignment="1" applyProtection="1">
      <alignment horizontal="center" vertical="center"/>
      <protection hidden="1"/>
    </xf>
    <xf numFmtId="0" fontId="9" fillId="0" borderId="0" xfId="2" applyFont="1" applyAlignment="1" applyProtection="1">
      <alignment vertical="center"/>
      <protection hidden="1"/>
    </xf>
    <xf numFmtId="0" fontId="9" fillId="0" borderId="0" xfId="2" applyFont="1" applyAlignment="1" applyProtection="1">
      <alignment horizontal="center" vertical="center"/>
      <protection hidden="1"/>
    </xf>
    <xf numFmtId="178" fontId="9" fillId="0" borderId="0" xfId="2" applyNumberFormat="1" applyFont="1" applyAlignment="1" applyProtection="1">
      <alignment horizontal="center" vertical="center"/>
      <protection hidden="1"/>
    </xf>
    <xf numFmtId="0" fontId="9" fillId="0" borderId="0" xfId="2" applyFont="1" applyAlignment="1" applyProtection="1">
      <alignment horizontal="left" vertical="center"/>
      <protection hidden="1"/>
    </xf>
    <xf numFmtId="0" fontId="0" fillId="0" borderId="0" xfId="0" applyAlignment="1" applyProtection="1">
      <alignment vertical="center"/>
      <protection hidden="1"/>
    </xf>
    <xf numFmtId="0" fontId="13" fillId="0" borderId="0" xfId="2" applyFont="1" applyAlignment="1" applyProtection="1">
      <alignment vertical="center"/>
      <protection hidden="1"/>
    </xf>
    <xf numFmtId="0" fontId="3" fillId="0" borderId="0" xfId="2" applyFont="1" applyAlignment="1" applyProtection="1">
      <alignment vertical="center"/>
      <protection hidden="1"/>
    </xf>
    <xf numFmtId="178" fontId="3" fillId="0" borderId="0" xfId="2" applyNumberFormat="1" applyFont="1" applyAlignment="1" applyProtection="1">
      <alignment horizontal="center" vertical="center"/>
      <protection hidden="1"/>
    </xf>
    <xf numFmtId="0" fontId="25" fillId="0" borderId="0" xfId="2" applyFont="1" applyAlignment="1" applyProtection="1">
      <alignment vertical="center"/>
      <protection hidden="1"/>
    </xf>
    <xf numFmtId="0" fontId="24" fillId="0" borderId="0" xfId="2" applyFont="1" applyAlignment="1" applyProtection="1">
      <alignment horizontal="center" vertical="center"/>
      <protection hidden="1"/>
    </xf>
    <xf numFmtId="0" fontId="3" fillId="0" borderId="0" xfId="2" applyFont="1" applyAlignment="1" applyProtection="1">
      <alignment horizontal="left" vertical="center"/>
      <protection hidden="1"/>
    </xf>
    <xf numFmtId="178" fontId="3" fillId="0" borderId="0" xfId="0" applyNumberFormat="1" applyFont="1" applyAlignment="1" applyProtection="1">
      <alignment vertical="center"/>
      <protection hidden="1"/>
    </xf>
    <xf numFmtId="0" fontId="9" fillId="0" borderId="0" xfId="0" applyFont="1" applyAlignment="1" applyProtection="1">
      <alignment horizontal="left" vertical="center"/>
      <protection hidden="1"/>
    </xf>
    <xf numFmtId="0" fontId="25" fillId="0" borderId="0" xfId="2" applyFont="1" applyAlignment="1" applyProtection="1">
      <alignment horizontal="center" vertical="center"/>
      <protection hidden="1"/>
    </xf>
    <xf numFmtId="2" fontId="24" fillId="0" borderId="0" xfId="2" applyNumberFormat="1" applyFont="1" applyAlignment="1" applyProtection="1">
      <alignment horizontal="center" vertical="center"/>
      <protection hidden="1"/>
    </xf>
    <xf numFmtId="0" fontId="29" fillId="0" borderId="0" xfId="0" applyFont="1" applyAlignment="1" applyProtection="1">
      <alignment vertical="center"/>
      <protection hidden="1"/>
    </xf>
    <xf numFmtId="1" fontId="24" fillId="0" borderId="0" xfId="2" applyNumberFormat="1" applyFont="1" applyAlignment="1" applyProtection="1">
      <alignment horizontal="center" vertical="center"/>
      <protection hidden="1"/>
    </xf>
    <xf numFmtId="0" fontId="28" fillId="0" borderId="0" xfId="2" applyFont="1" applyAlignment="1" applyProtection="1">
      <alignment horizontal="center"/>
      <protection hidden="1"/>
    </xf>
    <xf numFmtId="0" fontId="3" fillId="0" borderId="6" xfId="0" applyFont="1" applyBorder="1" applyAlignment="1" applyProtection="1">
      <alignment horizontal="center"/>
      <protection hidden="1"/>
    </xf>
    <xf numFmtId="177" fontId="3" fillId="0" borderId="6" xfId="0" applyNumberFormat="1" applyFont="1" applyBorder="1" applyAlignment="1" applyProtection="1">
      <alignment horizontal="center"/>
      <protection hidden="1"/>
    </xf>
    <xf numFmtId="177" fontId="24" fillId="0" borderId="0" xfId="2" applyNumberFormat="1" applyFont="1" applyAlignment="1" applyProtection="1">
      <alignment horizontal="center" vertical="center"/>
      <protection hidden="1"/>
    </xf>
    <xf numFmtId="0" fontId="3" fillId="0" borderId="0" xfId="0" applyFont="1" applyAlignment="1" applyProtection="1">
      <alignment horizontal="center"/>
      <protection hidden="1"/>
    </xf>
    <xf numFmtId="0" fontId="0" fillId="0" borderId="3" xfId="0" applyBorder="1" applyAlignment="1" applyProtection="1">
      <alignment horizontal="centerContinuous"/>
      <protection hidden="1"/>
    </xf>
    <xf numFmtId="0" fontId="0" fillId="0" borderId="5" xfId="0" applyBorder="1" applyAlignment="1" applyProtection="1">
      <alignment horizontal="centerContinuous"/>
      <protection hidden="1"/>
    </xf>
    <xf numFmtId="183" fontId="24" fillId="0" borderId="0" xfId="2" applyNumberFormat="1" applyFont="1" applyAlignment="1" applyProtection="1">
      <alignment horizontal="center" vertical="center"/>
      <protection hidden="1"/>
    </xf>
    <xf numFmtId="0" fontId="27" fillId="0" borderId="3" xfId="0" applyFont="1" applyBorder="1" applyAlignment="1" applyProtection="1">
      <alignment horizontal="centerContinuous"/>
      <protection hidden="1"/>
    </xf>
    <xf numFmtId="2" fontId="3" fillId="0" borderId="0" xfId="2" applyNumberFormat="1" applyFont="1" applyAlignment="1" applyProtection="1">
      <alignment horizontal="center" vertical="center"/>
      <protection hidden="1"/>
    </xf>
    <xf numFmtId="178" fontId="24" fillId="0" borderId="0" xfId="2" applyNumberFormat="1" applyFont="1" applyAlignment="1" applyProtection="1">
      <alignment horizontal="center" vertical="center"/>
      <protection hidden="1"/>
    </xf>
    <xf numFmtId="0" fontId="3" fillId="0" borderId="2" xfId="0" applyFont="1" applyBorder="1" applyAlignment="1" applyProtection="1">
      <alignment vertical="center"/>
      <protection hidden="1"/>
    </xf>
    <xf numFmtId="0" fontId="3" fillId="0" borderId="2" xfId="2" applyFont="1" applyBorder="1" applyAlignment="1" applyProtection="1">
      <alignment vertical="center"/>
      <protection hidden="1"/>
    </xf>
    <xf numFmtId="0" fontId="3" fillId="0" borderId="2" xfId="2" applyFont="1" applyBorder="1" applyAlignment="1" applyProtection="1">
      <alignment horizontal="center" vertical="center"/>
      <protection hidden="1"/>
    </xf>
    <xf numFmtId="178" fontId="3" fillId="0" borderId="2" xfId="2" applyNumberFormat="1" applyFont="1" applyBorder="1" applyAlignment="1" applyProtection="1">
      <alignment horizontal="center" vertical="center"/>
      <protection hidden="1"/>
    </xf>
    <xf numFmtId="0" fontId="9" fillId="0" borderId="2" xfId="2" applyFont="1" applyBorder="1" applyAlignment="1" applyProtection="1">
      <alignment horizontal="left" vertical="center"/>
      <protection hidden="1"/>
    </xf>
    <xf numFmtId="178" fontId="25" fillId="0" borderId="0" xfId="2" applyNumberFormat="1" applyFont="1" applyAlignment="1" applyProtection="1">
      <alignment horizontal="center" vertical="center"/>
      <protection hidden="1"/>
    </xf>
    <xf numFmtId="178" fontId="25" fillId="0" borderId="2" xfId="2" applyNumberFormat="1" applyFont="1" applyBorder="1" applyAlignment="1" applyProtection="1">
      <alignment horizontal="center" vertical="center"/>
      <protection hidden="1"/>
    </xf>
    <xf numFmtId="178" fontId="3" fillId="0" borderId="0" xfId="2" applyNumberFormat="1" applyFont="1" applyAlignment="1" applyProtection="1">
      <alignment vertical="center"/>
      <protection hidden="1"/>
    </xf>
    <xf numFmtId="178" fontId="9" fillId="0" borderId="0" xfId="2" applyNumberFormat="1" applyFont="1" applyAlignment="1" applyProtection="1">
      <alignment horizontal="left" vertical="center"/>
      <protection hidden="1"/>
    </xf>
    <xf numFmtId="0" fontId="26" fillId="0" borderId="0" xfId="2" applyFont="1" applyAlignment="1" applyProtection="1">
      <alignment vertical="center"/>
      <protection hidden="1"/>
    </xf>
    <xf numFmtId="0" fontId="3" fillId="0" borderId="0" xfId="2" applyFont="1" applyAlignment="1" applyProtection="1">
      <alignment horizontal="centerContinuous" vertical="center"/>
      <protection hidden="1"/>
    </xf>
    <xf numFmtId="178" fontId="3" fillId="0" borderId="0" xfId="2" applyNumberFormat="1" applyFont="1" applyAlignment="1" applyProtection="1">
      <alignment horizontal="centerContinuous" vertical="center"/>
      <protection hidden="1"/>
    </xf>
    <xf numFmtId="178" fontId="24" fillId="0" borderId="2" xfId="2" applyNumberFormat="1" applyFont="1" applyBorder="1" applyAlignment="1" applyProtection="1">
      <alignment horizontal="center" vertical="center"/>
      <protection hidden="1"/>
    </xf>
    <xf numFmtId="0" fontId="0" fillId="0" borderId="2" xfId="0" applyBorder="1" applyAlignment="1" applyProtection="1">
      <alignment vertical="center"/>
      <protection hidden="1"/>
    </xf>
    <xf numFmtId="0" fontId="3" fillId="0" borderId="0" xfId="2" applyFont="1" applyAlignment="1" applyProtection="1">
      <alignment horizontal="right" vertical="center"/>
      <protection hidden="1"/>
    </xf>
    <xf numFmtId="0" fontId="10" fillId="0" borderId="0" xfId="2" applyFont="1" applyAlignment="1" applyProtection="1">
      <alignment vertical="center"/>
      <protection hidden="1"/>
    </xf>
    <xf numFmtId="0" fontId="3" fillId="0" borderId="3" xfId="2" applyFont="1" applyBorder="1" applyAlignment="1" applyProtection="1">
      <alignment horizontal="center" vertical="center"/>
      <protection hidden="1"/>
    </xf>
    <xf numFmtId="0" fontId="3" fillId="0" borderId="6" xfId="2" applyFont="1" applyBorder="1" applyAlignment="1" applyProtection="1">
      <alignment horizontal="centerContinuous" vertical="center"/>
      <protection hidden="1"/>
    </xf>
    <xf numFmtId="0" fontId="3" fillId="0" borderId="5" xfId="2" applyFont="1" applyBorder="1" applyAlignment="1" applyProtection="1">
      <alignment horizontal="centerContinuous" vertical="center"/>
      <protection hidden="1"/>
    </xf>
    <xf numFmtId="0" fontId="0" fillId="0" borderId="20" xfId="0" applyBorder="1" applyAlignment="1" applyProtection="1">
      <alignment horizontal="centerContinuous" vertical="center"/>
      <protection hidden="1"/>
    </xf>
    <xf numFmtId="178" fontId="3" fillId="0" borderId="6" xfId="2" applyNumberFormat="1" applyFont="1" applyBorder="1" applyAlignment="1" applyProtection="1">
      <alignment horizontal="centerContinuous" vertical="center"/>
      <protection hidden="1"/>
    </xf>
    <xf numFmtId="0" fontId="3" fillId="0" borderId="6" xfId="2" applyFont="1" applyBorder="1" applyAlignment="1" applyProtection="1">
      <alignment horizontal="center" vertical="center"/>
      <protection hidden="1"/>
    </xf>
    <xf numFmtId="0" fontId="0" fillId="0" borderId="5" xfId="0" applyBorder="1" applyAlignment="1" applyProtection="1">
      <alignment horizontal="centerContinuous" vertical="center"/>
      <protection hidden="1"/>
    </xf>
    <xf numFmtId="178" fontId="3" fillId="0" borderId="20" xfId="2" applyNumberFormat="1" applyFont="1" applyBorder="1" applyAlignment="1" applyProtection="1">
      <alignment horizontal="centerContinuous" vertical="center"/>
      <protection hidden="1"/>
    </xf>
    <xf numFmtId="0" fontId="0" fillId="0" borderId="43" xfId="0" applyBorder="1" applyAlignment="1" applyProtection="1">
      <alignment horizontal="centerContinuous" vertical="center"/>
      <protection hidden="1"/>
    </xf>
    <xf numFmtId="178" fontId="3" fillId="0" borderId="5" xfId="2" applyNumberFormat="1" applyFont="1" applyBorder="1" applyAlignment="1" applyProtection="1">
      <alignment horizontal="centerContinuous" vertical="center"/>
      <protection hidden="1"/>
    </xf>
    <xf numFmtId="178" fontId="3" fillId="0" borderId="43" xfId="2" applyNumberFormat="1" applyFont="1" applyBorder="1" applyAlignment="1" applyProtection="1">
      <alignment horizontal="centerContinuous" vertical="center"/>
      <protection hidden="1"/>
    </xf>
    <xf numFmtId="180" fontId="3" fillId="0" borderId="0" xfId="2" applyNumberFormat="1" applyFont="1" applyAlignment="1" applyProtection="1">
      <alignment horizontal="center" vertical="center"/>
      <protection hidden="1"/>
    </xf>
    <xf numFmtId="0" fontId="0" fillId="0" borderId="0" xfId="0" applyAlignment="1" applyProtection="1">
      <alignment horizontal="center" vertical="center"/>
      <protection hidden="1"/>
    </xf>
    <xf numFmtId="0" fontId="3" fillId="0" borderId="0" xfId="2" quotePrefix="1" applyFont="1" applyAlignment="1" applyProtection="1">
      <alignment horizontal="left" vertical="center"/>
      <protection hidden="1"/>
    </xf>
    <xf numFmtId="0" fontId="3" fillId="0" borderId="2" xfId="2" applyFont="1" applyBorder="1" applyAlignment="1" applyProtection="1">
      <alignment horizontal="centerContinuous" vertical="center"/>
      <protection hidden="1"/>
    </xf>
    <xf numFmtId="178" fontId="3" fillId="0" borderId="2" xfId="2" applyNumberFormat="1" applyFont="1" applyBorder="1" applyAlignment="1" applyProtection="1">
      <alignment horizontal="centerContinuous" vertical="center"/>
      <protection hidden="1"/>
    </xf>
    <xf numFmtId="0" fontId="9" fillId="0" borderId="6" xfId="2" applyFont="1" applyBorder="1" applyAlignment="1" applyProtection="1">
      <alignment horizontal="center" vertical="center"/>
      <protection hidden="1"/>
    </xf>
    <xf numFmtId="0" fontId="3" fillId="0" borderId="6" xfId="2" quotePrefix="1" applyFont="1" applyBorder="1" applyAlignment="1" applyProtection="1">
      <alignment horizontal="center" vertical="center"/>
      <protection hidden="1"/>
    </xf>
    <xf numFmtId="0" fontId="3" fillId="0" borderId="0" xfId="0" applyFont="1" applyAlignment="1" applyProtection="1">
      <alignment horizontal="centerContinuous" vertical="center"/>
      <protection hidden="1"/>
    </xf>
    <xf numFmtId="177" fontId="3" fillId="0" borderId="0" xfId="2" applyNumberFormat="1" applyFont="1" applyAlignment="1" applyProtection="1">
      <alignment horizontal="center" vertical="center"/>
      <protection hidden="1"/>
    </xf>
    <xf numFmtId="177" fontId="3" fillId="0" borderId="0" xfId="0" applyNumberFormat="1" applyFont="1" applyAlignment="1" applyProtection="1">
      <alignment horizontal="center" vertical="center"/>
      <protection hidden="1"/>
    </xf>
    <xf numFmtId="178" fontId="3" fillId="0" borderId="0" xfId="0" applyNumberFormat="1" applyFont="1" applyAlignment="1" applyProtection="1">
      <alignment horizontal="center" vertical="center"/>
      <protection hidden="1"/>
    </xf>
    <xf numFmtId="0" fontId="0" fillId="0" borderId="0" xfId="0" applyAlignment="1" applyProtection="1">
      <alignment horizontal="centerContinuous" vertical="center"/>
      <protection hidden="1"/>
    </xf>
    <xf numFmtId="0" fontId="3" fillId="0" borderId="3" xfId="2" applyFont="1" applyBorder="1" applyAlignment="1" applyProtection="1">
      <alignment vertical="center"/>
      <protection hidden="1"/>
    </xf>
    <xf numFmtId="0" fontId="3" fillId="0" borderId="5" xfId="2" applyFont="1" applyBorder="1" applyAlignment="1" applyProtection="1">
      <alignment vertical="center"/>
      <protection hidden="1"/>
    </xf>
    <xf numFmtId="178" fontId="3" fillId="0" borderId="6" xfId="2" applyNumberFormat="1" applyFont="1" applyBorder="1" applyAlignment="1" applyProtection="1">
      <alignment vertical="center"/>
      <protection hidden="1"/>
    </xf>
    <xf numFmtId="0" fontId="3" fillId="0" borderId="6" xfId="2" applyFont="1" applyBorder="1" applyAlignment="1" applyProtection="1">
      <alignment vertical="center"/>
      <protection hidden="1"/>
    </xf>
    <xf numFmtId="178" fontId="3" fillId="0" borderId="6" xfId="2" applyNumberFormat="1" applyFont="1" applyBorder="1" applyAlignment="1" applyProtection="1">
      <alignment horizontal="center" vertical="center"/>
      <protection hidden="1"/>
    </xf>
    <xf numFmtId="0" fontId="3" fillId="0" borderId="47" xfId="2" applyFont="1" applyBorder="1" applyAlignment="1" applyProtection="1">
      <alignment vertical="center"/>
      <protection hidden="1"/>
    </xf>
    <xf numFmtId="0" fontId="3" fillId="0" borderId="1" xfId="2" applyFont="1" applyBorder="1" applyAlignment="1" applyProtection="1">
      <alignment vertical="center"/>
      <protection hidden="1"/>
    </xf>
    <xf numFmtId="177" fontId="3" fillId="0" borderId="6" xfId="2" applyNumberFormat="1" applyFont="1" applyBorder="1" applyAlignment="1" applyProtection="1">
      <alignment vertical="center"/>
      <protection hidden="1"/>
    </xf>
    <xf numFmtId="0" fontId="9" fillId="0" borderId="6" xfId="2" applyFont="1" applyBorder="1" applyAlignment="1" applyProtection="1">
      <alignment vertical="center"/>
      <protection hidden="1"/>
    </xf>
    <xf numFmtId="20" fontId="3" fillId="0" borderId="47" xfId="2" applyNumberFormat="1" applyFont="1" applyBorder="1" applyAlignment="1" applyProtection="1">
      <alignment vertical="center"/>
      <protection hidden="1"/>
    </xf>
    <xf numFmtId="20" fontId="3" fillId="0" borderId="3" xfId="2" applyNumberFormat="1" applyFont="1" applyBorder="1" applyAlignment="1" applyProtection="1">
      <alignment vertical="center"/>
      <protection hidden="1"/>
    </xf>
    <xf numFmtId="0" fontId="3" fillId="0" borderId="4" xfId="2" applyFont="1" applyBorder="1" applyAlignment="1" applyProtection="1">
      <alignment vertical="center"/>
      <protection hidden="1"/>
    </xf>
    <xf numFmtId="0" fontId="3" fillId="0" borderId="4" xfId="2" applyFont="1" applyBorder="1" applyAlignment="1" applyProtection="1">
      <alignment horizontal="center" vertical="center"/>
      <protection hidden="1"/>
    </xf>
    <xf numFmtId="178" fontId="3" fillId="0" borderId="5" xfId="2" applyNumberFormat="1" applyFont="1" applyBorder="1" applyAlignment="1" applyProtection="1">
      <alignment vertical="center"/>
      <protection hidden="1"/>
    </xf>
    <xf numFmtId="2" fontId="24" fillId="0" borderId="2" xfId="2" applyNumberFormat="1" applyFont="1" applyBorder="1" applyAlignment="1" applyProtection="1">
      <alignment horizontal="center" vertical="center"/>
      <protection hidden="1"/>
    </xf>
    <xf numFmtId="178" fontId="9" fillId="0" borderId="0" xfId="2" applyNumberFormat="1" applyFont="1" applyAlignment="1" applyProtection="1">
      <alignment vertical="center"/>
      <protection hidden="1"/>
    </xf>
    <xf numFmtId="0" fontId="0" fillId="0" borderId="6" xfId="0" applyBorder="1" applyProtection="1">
      <protection hidden="1"/>
    </xf>
    <xf numFmtId="0" fontId="0" fillId="0" borderId="3" xfId="0" applyBorder="1" applyAlignment="1" applyProtection="1">
      <alignment horizontal="center"/>
      <protection hidden="1"/>
    </xf>
    <xf numFmtId="0" fontId="0" fillId="0" borderId="6" xfId="0" applyBorder="1" applyAlignment="1" applyProtection="1">
      <alignment horizontal="center"/>
      <protection hidden="1"/>
    </xf>
    <xf numFmtId="0" fontId="0" fillId="0" borderId="3" xfId="0" applyBorder="1" applyProtection="1">
      <protection hidden="1"/>
    </xf>
    <xf numFmtId="0" fontId="0" fillId="0" borderId="84" xfId="0" applyBorder="1" applyProtection="1">
      <protection hidden="1"/>
    </xf>
    <xf numFmtId="0" fontId="0" fillId="0" borderId="38" xfId="0" applyBorder="1" applyProtection="1">
      <protection hidden="1"/>
    </xf>
    <xf numFmtId="0" fontId="0" fillId="0" borderId="47" xfId="0" applyBorder="1" applyProtection="1">
      <protection hidden="1"/>
    </xf>
    <xf numFmtId="0" fontId="0" fillId="0" borderId="6" xfId="0" applyBorder="1" applyAlignment="1" applyProtection="1">
      <alignment horizontal="right"/>
      <protection hidden="1"/>
    </xf>
    <xf numFmtId="0" fontId="0" fillId="0" borderId="85" xfId="0" applyBorder="1" applyAlignment="1" applyProtection="1">
      <alignment horizontal="right"/>
      <protection hidden="1"/>
    </xf>
    <xf numFmtId="0" fontId="0" fillId="0" borderId="85" xfId="0" applyBorder="1" applyProtection="1">
      <protection hidden="1"/>
    </xf>
    <xf numFmtId="0" fontId="0" fillId="0" borderId="86" xfId="0" applyBorder="1" applyProtection="1">
      <protection hidden="1"/>
    </xf>
    <xf numFmtId="2" fontId="0" fillId="0" borderId="6" xfId="0" applyNumberFormat="1" applyBorder="1" applyProtection="1">
      <protection hidden="1"/>
    </xf>
    <xf numFmtId="3" fontId="0" fillId="0" borderId="6" xfId="0" applyNumberFormat="1" applyBorder="1" applyProtection="1">
      <protection hidden="1"/>
    </xf>
    <xf numFmtId="3" fontId="0" fillId="0" borderId="38" xfId="0" applyNumberFormat="1" applyBorder="1" applyProtection="1">
      <protection hidden="1"/>
    </xf>
    <xf numFmtId="0" fontId="0" fillId="0" borderId="67" xfId="0" applyBorder="1" applyProtection="1">
      <protection hidden="1"/>
    </xf>
    <xf numFmtId="3" fontId="0" fillId="0" borderId="85" xfId="0" applyNumberFormat="1" applyBorder="1" applyProtection="1">
      <protection hidden="1"/>
    </xf>
    <xf numFmtId="3" fontId="0" fillId="0" borderId="86" xfId="0" applyNumberFormat="1" applyBorder="1" applyProtection="1">
      <protection hidden="1"/>
    </xf>
    <xf numFmtId="0" fontId="37" fillId="0" borderId="86" xfId="0" applyFont="1" applyBorder="1" applyProtection="1">
      <protection hidden="1"/>
    </xf>
    <xf numFmtId="0" fontId="0" fillId="0" borderId="87" xfId="0" applyBorder="1" applyAlignment="1" applyProtection="1">
      <alignment horizontal="center"/>
      <protection hidden="1"/>
    </xf>
    <xf numFmtId="0" fontId="0" fillId="0" borderId="87" xfId="0" applyBorder="1" applyProtection="1">
      <protection hidden="1"/>
    </xf>
    <xf numFmtId="0" fontId="0" fillId="0" borderId="66" xfId="0" applyBorder="1" applyProtection="1">
      <protection hidden="1"/>
    </xf>
    <xf numFmtId="3" fontId="0" fillId="0" borderId="0" xfId="0" applyNumberFormat="1" applyProtection="1">
      <protection hidden="1"/>
    </xf>
    <xf numFmtId="3" fontId="0" fillId="0" borderId="5" xfId="0" applyNumberFormat="1" applyBorder="1" applyProtection="1">
      <protection hidden="1"/>
    </xf>
    <xf numFmtId="0" fontId="0" fillId="0" borderId="38" xfId="0" applyBorder="1" applyAlignment="1" applyProtection="1">
      <alignment horizontal="center"/>
      <protection hidden="1"/>
    </xf>
    <xf numFmtId="3" fontId="0" fillId="0" borderId="20" xfId="0" applyNumberFormat="1" applyBorder="1" applyProtection="1">
      <protection hidden="1"/>
    </xf>
    <xf numFmtId="0" fontId="0" fillId="0" borderId="85" xfId="0" applyBorder="1" applyAlignment="1" applyProtection="1">
      <alignment horizontal="center"/>
      <protection hidden="1"/>
    </xf>
    <xf numFmtId="0" fontId="0" fillId="0" borderId="86" xfId="0" applyBorder="1" applyAlignment="1" applyProtection="1">
      <alignment horizontal="center"/>
      <protection hidden="1"/>
    </xf>
    <xf numFmtId="0" fontId="0" fillId="0" borderId="4" xfId="0" applyBorder="1" applyProtection="1">
      <protection hidden="1"/>
    </xf>
    <xf numFmtId="0" fontId="0" fillId="0" borderId="88" xfId="0" applyBorder="1" applyProtection="1">
      <protection hidden="1"/>
    </xf>
    <xf numFmtId="0" fontId="0" fillId="0" borderId="89" xfId="0" applyBorder="1" applyProtection="1">
      <protection hidden="1"/>
    </xf>
    <xf numFmtId="0" fontId="0" fillId="0" borderId="0" xfId="0" applyAlignment="1" applyProtection="1">
      <alignment horizontal="center"/>
      <protection hidden="1"/>
    </xf>
    <xf numFmtId="0" fontId="37" fillId="0" borderId="38" xfId="0" applyFont="1" applyBorder="1" applyAlignment="1" applyProtection="1">
      <alignment horizontal="center" vertical="center"/>
      <protection hidden="1"/>
    </xf>
    <xf numFmtId="0" fontId="37" fillId="0" borderId="44" xfId="0" applyFont="1" applyBorder="1" applyAlignment="1" applyProtection="1">
      <alignment horizontal="center" vertical="center"/>
      <protection hidden="1"/>
    </xf>
    <xf numFmtId="0" fontId="0" fillId="0" borderId="6" xfId="0" quotePrefix="1" applyBorder="1" applyAlignment="1" applyProtection="1">
      <alignment horizontal="center"/>
      <protection hidden="1"/>
    </xf>
    <xf numFmtId="0" fontId="0" fillId="0" borderId="67" xfId="0" applyBorder="1" applyAlignment="1" applyProtection="1">
      <alignment horizontal="center"/>
      <protection hidden="1"/>
    </xf>
    <xf numFmtId="0" fontId="0" fillId="0" borderId="90" xfId="0" applyBorder="1" applyProtection="1">
      <protection hidden="1"/>
    </xf>
    <xf numFmtId="0" fontId="58" fillId="2" borderId="0" xfId="0" applyFont="1" applyFill="1" applyAlignment="1">
      <alignment horizontal="center" vertical="center"/>
    </xf>
    <xf numFmtId="0" fontId="1" fillId="0" borderId="0" xfId="0" applyFont="1"/>
    <xf numFmtId="3" fontId="0" fillId="0" borderId="0" xfId="0" applyNumberFormat="1"/>
    <xf numFmtId="0" fontId="59" fillId="2" borderId="0" xfId="0" applyFont="1" applyFill="1"/>
    <xf numFmtId="0" fontId="11" fillId="0" borderId="6" xfId="0" applyFont="1" applyBorder="1"/>
    <xf numFmtId="0" fontId="4" fillId="2" borderId="0" xfId="0" applyFont="1" applyFill="1"/>
    <xf numFmtId="0" fontId="3" fillId="0" borderId="6" xfId="0" applyFont="1" applyBorder="1" applyAlignment="1">
      <alignment horizontal="center"/>
    </xf>
    <xf numFmtId="0" fontId="11" fillId="2" borderId="0" xfId="0" applyFont="1" applyFill="1"/>
    <xf numFmtId="0" fontId="33" fillId="2" borderId="47" xfId="0" applyFont="1" applyFill="1" applyBorder="1" applyAlignment="1">
      <alignment vertical="center"/>
    </xf>
    <xf numFmtId="0" fontId="30" fillId="0" borderId="7" xfId="0" applyFont="1" applyBorder="1" applyAlignment="1">
      <alignment horizontal="center" vertical="center"/>
    </xf>
    <xf numFmtId="0" fontId="1" fillId="0" borderId="8" xfId="0" applyFont="1" applyBorder="1"/>
    <xf numFmtId="0" fontId="67" fillId="0" borderId="8" xfId="0" applyFont="1" applyBorder="1" applyAlignment="1">
      <alignment horizontal="center"/>
    </xf>
    <xf numFmtId="0" fontId="1" fillId="0" borderId="91" xfId="0" applyFont="1" applyBorder="1"/>
    <xf numFmtId="0" fontId="67" fillId="0" borderId="91" xfId="0" applyFont="1" applyBorder="1" applyAlignment="1">
      <alignment horizontal="center"/>
    </xf>
    <xf numFmtId="0" fontId="67" fillId="0" borderId="0" xfId="0" applyFont="1" applyAlignment="1">
      <alignment horizontal="center"/>
    </xf>
    <xf numFmtId="0" fontId="1" fillId="0" borderId="92" xfId="0" applyFont="1" applyBorder="1"/>
    <xf numFmtId="0" fontId="67" fillId="0" borderId="92" xfId="0" applyFont="1" applyBorder="1" applyAlignment="1">
      <alignment horizontal="center"/>
    </xf>
    <xf numFmtId="3" fontId="67" fillId="7" borderId="93" xfId="0" applyNumberFormat="1" applyFont="1" applyFill="1" applyBorder="1" applyAlignment="1">
      <alignment vertical="top" wrapText="1"/>
    </xf>
    <xf numFmtId="3" fontId="67" fillId="7" borderId="94" xfId="0" applyNumberFormat="1" applyFont="1" applyFill="1" applyBorder="1" applyAlignment="1">
      <alignment vertical="top" wrapText="1"/>
    </xf>
    <xf numFmtId="0" fontId="67" fillId="0" borderId="95" xfId="0" applyFont="1" applyBorder="1" applyAlignment="1">
      <alignment horizontal="center"/>
    </xf>
    <xf numFmtId="0" fontId="67" fillId="0" borderId="94" xfId="0" applyFont="1" applyBorder="1" applyAlignment="1">
      <alignment horizontal="center"/>
    </xf>
    <xf numFmtId="0" fontId="67" fillId="0" borderId="96" xfId="0" applyFont="1" applyBorder="1" applyAlignment="1">
      <alignment horizontal="center"/>
    </xf>
    <xf numFmtId="0" fontId="30" fillId="0" borderId="97" xfId="0" applyFont="1" applyBorder="1" applyAlignment="1">
      <alignment horizontal="center"/>
    </xf>
    <xf numFmtId="0" fontId="0" fillId="0" borderId="6" xfId="0" applyBorder="1"/>
    <xf numFmtId="0" fontId="0" fillId="0" borderId="6" xfId="0" applyBorder="1" applyAlignment="1">
      <alignment horizontal="center"/>
    </xf>
    <xf numFmtId="0" fontId="37" fillId="0" borderId="6" xfId="0" applyFont="1" applyBorder="1" applyAlignment="1">
      <alignment horizontal="center"/>
    </xf>
    <xf numFmtId="3" fontId="68" fillId="3" borderId="6" xfId="0" applyNumberFormat="1" applyFont="1" applyFill="1" applyBorder="1" applyProtection="1">
      <protection locked="0"/>
    </xf>
    <xf numFmtId="3" fontId="0" fillId="3" borderId="6" xfId="0" applyNumberFormat="1" applyFill="1" applyBorder="1" applyProtection="1">
      <protection locked="0"/>
    </xf>
    <xf numFmtId="3" fontId="0" fillId="0" borderId="6" xfId="0" applyNumberFormat="1" applyBorder="1"/>
    <xf numFmtId="0" fontId="0" fillId="0" borderId="2" xfId="0" applyBorder="1"/>
    <xf numFmtId="0" fontId="21" fillId="0" borderId="6" xfId="0" applyFont="1" applyBorder="1" applyAlignment="1">
      <alignment horizontal="center"/>
    </xf>
    <xf numFmtId="2" fontId="0" fillId="0" borderId="6" xfId="0" applyNumberFormat="1" applyBorder="1" applyAlignment="1">
      <alignment horizontal="center"/>
    </xf>
    <xf numFmtId="2" fontId="0" fillId="0" borderId="6" xfId="0" applyNumberFormat="1" applyBorder="1"/>
    <xf numFmtId="0" fontId="0" fillId="0" borderId="0" xfId="0" applyAlignment="1">
      <alignment horizontal="center"/>
    </xf>
    <xf numFmtId="0" fontId="3" fillId="0" borderId="6" xfId="0" applyFont="1" applyBorder="1" applyAlignment="1">
      <alignment horizontal="center" vertical="center"/>
    </xf>
    <xf numFmtId="0" fontId="3" fillId="0" borderId="38" xfId="0" applyFont="1" applyBorder="1" applyAlignment="1">
      <alignment horizontal="center" vertical="center"/>
    </xf>
    <xf numFmtId="0" fontId="10" fillId="0" borderId="6" xfId="0" applyFont="1" applyBorder="1" applyAlignment="1">
      <alignment vertical="center"/>
    </xf>
    <xf numFmtId="3" fontId="24" fillId="0" borderId="6" xfId="0" applyNumberFormat="1" applyFont="1" applyBorder="1" applyAlignment="1" applyProtection="1">
      <alignment horizontal="right" vertical="center"/>
      <protection locked="0"/>
    </xf>
    <xf numFmtId="0" fontId="10" fillId="0" borderId="5" xfId="0" applyFont="1" applyBorder="1" applyAlignment="1">
      <alignment vertical="center"/>
    </xf>
    <xf numFmtId="3" fontId="24" fillId="0" borderId="6" xfId="0" applyNumberFormat="1" applyFont="1" applyBorder="1" applyAlignment="1" applyProtection="1">
      <alignment vertical="center"/>
      <protection locked="0"/>
    </xf>
    <xf numFmtId="0" fontId="60" fillId="0" borderId="17" xfId="0" applyFont="1" applyBorder="1" applyAlignment="1">
      <alignment vertical="center"/>
    </xf>
    <xf numFmtId="0" fontId="61" fillId="0" borderId="73" xfId="0" applyFont="1" applyBorder="1" applyAlignment="1">
      <alignment vertical="center"/>
    </xf>
    <xf numFmtId="0" fontId="37" fillId="0" borderId="0" xfId="0" applyFont="1"/>
    <xf numFmtId="0" fontId="62" fillId="0" borderId="0" xfId="0" applyFont="1"/>
    <xf numFmtId="0" fontId="3" fillId="0" borderId="0" xfId="0" applyFont="1" applyAlignment="1">
      <alignment horizontal="left" vertical="center"/>
    </xf>
    <xf numFmtId="0" fontId="29" fillId="0" borderId="0" xfId="0" applyFont="1" applyAlignment="1">
      <alignment horizontal="left" vertical="center"/>
    </xf>
    <xf numFmtId="0" fontId="37" fillId="2" borderId="54" xfId="0" applyFont="1" applyFill="1" applyBorder="1" applyAlignment="1">
      <alignment horizontal="center"/>
    </xf>
    <xf numFmtId="0" fontId="37" fillId="2" borderId="98" xfId="0" applyFont="1" applyFill="1" applyBorder="1" applyAlignment="1">
      <alignment horizontal="center"/>
    </xf>
    <xf numFmtId="0" fontId="21" fillId="2" borderId="131" xfId="0" applyFont="1" applyFill="1" applyBorder="1"/>
    <xf numFmtId="0" fontId="21" fillId="2" borderId="132" xfId="0" applyFont="1" applyFill="1" applyBorder="1"/>
    <xf numFmtId="0" fontId="0" fillId="2" borderId="132" xfId="0" applyFill="1" applyBorder="1"/>
    <xf numFmtId="0" fontId="0" fillId="2" borderId="133" xfId="0" applyFill="1" applyBorder="1"/>
    <xf numFmtId="0" fontId="21" fillId="2" borderId="134" xfId="0" applyFont="1" applyFill="1" applyBorder="1"/>
    <xf numFmtId="0" fontId="0" fillId="2" borderId="135" xfId="0" applyFill="1" applyBorder="1"/>
    <xf numFmtId="0" fontId="21" fillId="2" borderId="136" xfId="0" applyFont="1" applyFill="1" applyBorder="1"/>
    <xf numFmtId="0" fontId="21" fillId="2" borderId="137" xfId="0" applyFont="1" applyFill="1" applyBorder="1"/>
    <xf numFmtId="0" fontId="0" fillId="2" borderId="137" xfId="0" applyFill="1" applyBorder="1"/>
    <xf numFmtId="0" fontId="0" fillId="2" borderId="138" xfId="0" applyFill="1" applyBorder="1"/>
    <xf numFmtId="177" fontId="9" fillId="8" borderId="67" xfId="0" applyNumberFormat="1" applyFont="1" applyFill="1" applyBorder="1" applyAlignment="1" applyProtection="1">
      <alignment horizontal="center" vertical="center"/>
      <protection locked="0"/>
    </xf>
    <xf numFmtId="0" fontId="3" fillId="8" borderId="6" xfId="0" applyFont="1" applyFill="1" applyBorder="1" applyAlignment="1" applyProtection="1">
      <alignment horizontal="center" vertical="center"/>
      <protection locked="0"/>
    </xf>
    <xf numFmtId="0" fontId="10" fillId="8" borderId="6" xfId="0" applyFont="1" applyFill="1" applyBorder="1" applyAlignment="1" applyProtection="1">
      <alignment horizontal="center" vertical="center"/>
      <protection locked="0"/>
    </xf>
    <xf numFmtId="0" fontId="9" fillId="8" borderId="6" xfId="0" applyFont="1" applyFill="1" applyBorder="1" applyAlignment="1" applyProtection="1">
      <alignment horizontal="center" vertical="center"/>
      <protection locked="0"/>
    </xf>
    <xf numFmtId="0" fontId="0" fillId="8" borderId="6" xfId="0" applyFill="1" applyBorder="1" applyProtection="1">
      <protection locked="0"/>
    </xf>
    <xf numFmtId="0" fontId="9" fillId="8" borderId="30" xfId="0" applyFont="1" applyFill="1" applyBorder="1" applyAlignment="1" applyProtection="1">
      <alignment horizontal="center" vertical="center"/>
      <protection locked="0"/>
    </xf>
    <xf numFmtId="1" fontId="10" fillId="8" borderId="32" xfId="0" applyNumberFormat="1" applyFont="1" applyFill="1" applyBorder="1" applyAlignment="1" applyProtection="1">
      <alignment horizontal="center" vertical="center"/>
      <protection locked="0"/>
    </xf>
    <xf numFmtId="0" fontId="24" fillId="0" borderId="0" xfId="0" applyFont="1" applyAlignment="1">
      <alignment vertical="center"/>
    </xf>
    <xf numFmtId="0" fontId="3" fillId="7" borderId="0" xfId="0" applyFont="1" applyFill="1"/>
    <xf numFmtId="0" fontId="3" fillId="2" borderId="0" xfId="0" applyFont="1" applyFill="1" applyAlignment="1">
      <alignment horizontal="right"/>
    </xf>
    <xf numFmtId="0" fontId="3" fillId="7" borderId="6" xfId="0" applyFont="1" applyFill="1" applyBorder="1" applyAlignment="1">
      <alignment horizontal="center"/>
    </xf>
    <xf numFmtId="183" fontId="11" fillId="8" borderId="6" xfId="0" applyNumberFormat="1" applyFont="1" applyFill="1" applyBorder="1" applyAlignment="1" applyProtection="1">
      <alignment horizontal="center" vertical="center"/>
      <protection locked="0"/>
    </xf>
    <xf numFmtId="0" fontId="10" fillId="2" borderId="99" xfId="0" applyFont="1" applyFill="1" applyBorder="1" applyAlignment="1">
      <alignment vertical="center"/>
    </xf>
    <xf numFmtId="0" fontId="3" fillId="2" borderId="21" xfId="0" applyFont="1" applyFill="1" applyBorder="1" applyAlignment="1">
      <alignment horizontal="left" vertical="center"/>
    </xf>
    <xf numFmtId="0" fontId="0" fillId="9" borderId="0" xfId="0" applyFill="1"/>
    <xf numFmtId="3" fontId="67" fillId="7" borderId="100" xfId="0" applyNumberFormat="1" applyFont="1" applyFill="1" applyBorder="1" applyAlignment="1">
      <alignment vertical="top" wrapText="1"/>
    </xf>
    <xf numFmtId="3" fontId="67" fillId="7" borderId="91" xfId="0" applyNumberFormat="1" applyFont="1" applyFill="1" applyBorder="1" applyAlignment="1">
      <alignment vertical="top" wrapText="1"/>
    </xf>
    <xf numFmtId="3" fontId="67" fillId="7" borderId="95" xfId="0" applyNumberFormat="1" applyFont="1" applyFill="1" applyBorder="1" applyAlignment="1">
      <alignment vertical="top" wrapText="1"/>
    </xf>
    <xf numFmtId="3" fontId="67" fillId="7" borderId="0" xfId="0" applyNumberFormat="1" applyFont="1" applyFill="1" applyAlignment="1">
      <alignment vertical="top" wrapText="1"/>
    </xf>
    <xf numFmtId="3" fontId="67" fillId="7" borderId="97" xfId="0" applyNumberFormat="1" applyFont="1" applyFill="1" applyBorder="1" applyAlignment="1">
      <alignment vertical="top" wrapText="1"/>
    </xf>
    <xf numFmtId="3" fontId="67" fillId="7" borderId="92" xfId="0" applyNumberFormat="1" applyFont="1" applyFill="1" applyBorder="1" applyAlignment="1">
      <alignment vertical="top" wrapText="1"/>
    </xf>
    <xf numFmtId="3" fontId="67" fillId="7" borderId="96" xfId="0" applyNumberFormat="1" applyFont="1" applyFill="1" applyBorder="1" applyAlignment="1">
      <alignment vertical="top" wrapText="1"/>
    </xf>
    <xf numFmtId="3" fontId="67" fillId="7" borderId="7" xfId="0" applyNumberFormat="1" applyFont="1" applyFill="1" applyBorder="1" applyAlignment="1">
      <alignment vertical="top" wrapText="1"/>
    </xf>
    <xf numFmtId="3" fontId="67" fillId="7" borderId="8" xfId="0" applyNumberFormat="1" applyFont="1" applyFill="1" applyBorder="1" applyAlignment="1">
      <alignment vertical="top" wrapText="1"/>
    </xf>
    <xf numFmtId="3" fontId="67" fillId="7" borderId="9" xfId="0" applyNumberFormat="1" applyFont="1" applyFill="1" applyBorder="1" applyAlignment="1">
      <alignment vertical="top" wrapText="1"/>
    </xf>
    <xf numFmtId="0" fontId="40" fillId="0" borderId="18" xfId="0" applyFont="1" applyBorder="1" applyAlignment="1">
      <alignment horizontal="center" vertical="center"/>
    </xf>
    <xf numFmtId="3" fontId="39" fillId="0" borderId="54" xfId="0" applyNumberFormat="1" applyFont="1" applyBorder="1" applyAlignment="1">
      <alignment horizontal="center"/>
    </xf>
    <xf numFmtId="3" fontId="39" fillId="0" borderId="22" xfId="0" applyNumberFormat="1" applyFont="1" applyBorder="1" applyAlignment="1">
      <alignment horizontal="center"/>
    </xf>
    <xf numFmtId="0" fontId="40" fillId="0" borderId="34" xfId="0" applyFont="1" applyBorder="1" applyAlignment="1">
      <alignment horizontal="center" vertical="center"/>
    </xf>
    <xf numFmtId="0" fontId="3" fillId="2" borderId="0" xfId="0" applyFont="1" applyFill="1" applyAlignment="1">
      <alignment horizontal="center" vertical="center"/>
    </xf>
    <xf numFmtId="0" fontId="31" fillId="2" borderId="0" xfId="0" applyFont="1" applyFill="1" applyAlignment="1">
      <alignment vertical="center"/>
    </xf>
    <xf numFmtId="0" fontId="33" fillId="0" borderId="3" xfId="0" applyFont="1" applyBorder="1" applyAlignment="1">
      <alignment horizontal="center" vertical="center"/>
    </xf>
    <xf numFmtId="0" fontId="40" fillId="0" borderId="12" xfId="0" applyFont="1" applyBorder="1" applyAlignment="1">
      <alignment horizontal="center" vertical="center"/>
    </xf>
    <xf numFmtId="3" fontId="3" fillId="0" borderId="4" xfId="0" applyNumberFormat="1" applyFont="1" applyBorder="1" applyAlignment="1">
      <alignment horizontal="right"/>
    </xf>
    <xf numFmtId="3" fontId="3" fillId="0" borderId="5" xfId="0" applyNumberFormat="1" applyFont="1" applyBorder="1" applyAlignment="1">
      <alignment horizontal="right"/>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0" xfId="0" applyFont="1" applyFill="1" applyAlignment="1">
      <alignment horizontal="center"/>
    </xf>
    <xf numFmtId="0" fontId="0" fillId="0" borderId="38" xfId="0" applyBorder="1" applyAlignment="1" applyProtection="1">
      <alignment horizontal="center" vertical="center"/>
      <protection hidden="1"/>
    </xf>
    <xf numFmtId="0" fontId="0" fillId="0" borderId="44" xfId="0" applyBorder="1" applyAlignment="1" applyProtection="1">
      <alignment horizontal="center" vertical="center"/>
      <protection hidden="1"/>
    </xf>
    <xf numFmtId="0" fontId="21" fillId="0" borderId="38" xfId="0" applyFont="1" applyBorder="1" applyAlignment="1" applyProtection="1">
      <alignment horizontal="center" vertical="center"/>
      <protection hidden="1"/>
    </xf>
    <xf numFmtId="0" fontId="21" fillId="0" borderId="44" xfId="0" applyFont="1" applyBorder="1" applyAlignment="1" applyProtection="1">
      <alignment horizontal="center" vertical="center"/>
      <protection hidden="1"/>
    </xf>
    <xf numFmtId="0" fontId="13" fillId="4" borderId="0" xfId="0" applyFont="1" applyFill="1" applyAlignment="1" applyProtection="1">
      <alignment horizontal="left" vertical="center"/>
      <protection hidden="1"/>
    </xf>
    <xf numFmtId="0" fontId="13" fillId="0" borderId="6" xfId="0" applyFont="1" applyBorder="1" applyAlignment="1" applyProtection="1">
      <alignment horizontal="center" vertical="center"/>
      <protection hidden="1"/>
    </xf>
    <xf numFmtId="0" fontId="13" fillId="0" borderId="3" xfId="0" applyFont="1" applyBorder="1" applyAlignment="1" applyProtection="1">
      <alignment horizontal="center" vertical="center"/>
      <protection hidden="1"/>
    </xf>
    <xf numFmtId="0" fontId="13" fillId="0" borderId="60" xfId="0" applyFont="1" applyBorder="1" applyAlignment="1" applyProtection="1">
      <alignment horizontal="center" vertical="center"/>
      <protection hidden="1"/>
    </xf>
    <xf numFmtId="0" fontId="13" fillId="0" borderId="5" xfId="0" applyFont="1" applyBorder="1" applyAlignment="1" applyProtection="1">
      <alignment horizontal="center" vertical="center"/>
      <protection hidden="1"/>
    </xf>
    <xf numFmtId="0" fontId="13" fillId="0" borderId="0" xfId="0" applyFont="1" applyAlignment="1" applyProtection="1">
      <alignment horizontal="center" vertical="center"/>
      <protection hidden="1"/>
    </xf>
    <xf numFmtId="0" fontId="13" fillId="0" borderId="0" xfId="0" quotePrefix="1" applyFont="1" applyAlignment="1" applyProtection="1">
      <alignment horizontal="right" vertical="center"/>
      <protection hidden="1"/>
    </xf>
    <xf numFmtId="0" fontId="13" fillId="0" borderId="0" xfId="0" applyFont="1" applyAlignment="1" applyProtection="1">
      <alignment horizontal="right" vertical="center"/>
      <protection hidden="1"/>
    </xf>
    <xf numFmtId="0" fontId="13" fillId="0" borderId="0" xfId="0" applyFont="1" applyAlignment="1" applyProtection="1">
      <alignment horizontal="left" vertical="center"/>
      <protection hidden="1"/>
    </xf>
    <xf numFmtId="0" fontId="3" fillId="0" borderId="0" xfId="0" applyFont="1" applyAlignment="1" applyProtection="1">
      <alignment horizontal="center" vertical="center"/>
      <protection hidden="1"/>
    </xf>
    <xf numFmtId="0" fontId="13" fillId="0" borderId="83" xfId="0" applyFont="1" applyBorder="1" applyAlignment="1" applyProtection="1">
      <alignment horizontal="center" vertical="center"/>
      <protection hidden="1"/>
    </xf>
    <xf numFmtId="0" fontId="13" fillId="0" borderId="4" xfId="0" applyFont="1" applyBorder="1" applyAlignment="1" applyProtection="1">
      <alignment horizontal="center" vertical="center"/>
      <protection hidden="1"/>
    </xf>
    <xf numFmtId="0" fontId="37" fillId="0" borderId="6" xfId="0" applyFont="1" applyBorder="1" applyAlignment="1" applyProtection="1">
      <alignment horizontal="center"/>
      <protection hidden="1"/>
    </xf>
    <xf numFmtId="3" fontId="0" fillId="3" borderId="6" xfId="0" applyNumberFormat="1" applyFill="1" applyBorder="1" applyProtection="1">
      <protection hidden="1"/>
    </xf>
    <xf numFmtId="0" fontId="0" fillId="0" borderId="0" xfId="0" applyAlignment="1">
      <alignment vertical="center"/>
    </xf>
    <xf numFmtId="38" fontId="0" fillId="0" borderId="6" xfId="1" applyFont="1" applyBorder="1"/>
    <xf numFmtId="0" fontId="69" fillId="2" borderId="0" xfId="0" applyFont="1" applyFill="1" applyAlignment="1">
      <alignment vertical="center"/>
    </xf>
    <xf numFmtId="0" fontId="30" fillId="0" borderId="93" xfId="0" applyFont="1" applyBorder="1" applyAlignment="1">
      <alignment horizontal="center" vertical="center"/>
    </xf>
    <xf numFmtId="0" fontId="30" fillId="0" borderId="100" xfId="0" applyFont="1" applyBorder="1" applyAlignment="1">
      <alignment horizontal="center" vertical="center"/>
    </xf>
    <xf numFmtId="0" fontId="30" fillId="0" borderId="97" xfId="0" applyFont="1" applyBorder="1" applyAlignment="1">
      <alignment horizontal="center" vertical="center"/>
    </xf>
    <xf numFmtId="0" fontId="3" fillId="0" borderId="3" xfId="0" applyFont="1" applyBorder="1" applyAlignment="1">
      <alignment horizontal="left" vertical="center" indent="3"/>
    </xf>
    <xf numFmtId="0" fontId="3" fillId="0" borderId="4" xfId="0" applyFont="1" applyBorder="1" applyAlignment="1">
      <alignment horizontal="left" vertical="center" indent="3"/>
    </xf>
    <xf numFmtId="0" fontId="3" fillId="0" borderId="5" xfId="0" applyFont="1" applyBorder="1" applyAlignment="1">
      <alignment horizontal="left" vertical="center" indent="3"/>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47"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87" xfId="0" applyFont="1" applyBorder="1" applyAlignment="1">
      <alignment horizontal="center" vertical="center"/>
    </xf>
    <xf numFmtId="0" fontId="3" fillId="0" borderId="0" xfId="0" applyFont="1" applyAlignment="1">
      <alignment horizontal="center" vertical="center"/>
    </xf>
    <xf numFmtId="0" fontId="3" fillId="0" borderId="21" xfId="0" applyFont="1" applyBorder="1" applyAlignment="1">
      <alignment horizontal="center" vertical="center"/>
    </xf>
    <xf numFmtId="0" fontId="3" fillId="0" borderId="48" xfId="0" applyFont="1" applyBorder="1" applyAlignment="1">
      <alignment horizontal="center" vertical="center"/>
    </xf>
    <xf numFmtId="0" fontId="3" fillId="0" borderId="2" xfId="0" applyFont="1" applyBorder="1" applyAlignment="1">
      <alignment horizontal="center" vertical="center"/>
    </xf>
    <xf numFmtId="0" fontId="3" fillId="0" borderId="43"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xf>
    <xf numFmtId="0" fontId="3" fillId="0" borderId="43" xfId="0" applyFont="1" applyBorder="1" applyAlignment="1">
      <alignment horizontal="left" vertical="center"/>
    </xf>
    <xf numFmtId="0" fontId="3" fillId="0" borderId="47" xfId="0" applyFont="1" applyBorder="1" applyAlignment="1">
      <alignment horizontal="left" vertical="center" indent="3"/>
    </xf>
    <xf numFmtId="0" fontId="3" fillId="0" borderId="1" xfId="0" applyFont="1" applyBorder="1" applyAlignment="1">
      <alignment horizontal="left" vertical="center" indent="3"/>
    </xf>
    <xf numFmtId="0" fontId="3" fillId="0" borderId="20" xfId="0" applyFont="1" applyBorder="1" applyAlignment="1">
      <alignment horizontal="left" vertical="center" indent="3"/>
    </xf>
    <xf numFmtId="0" fontId="3" fillId="0" borderId="47" xfId="0" applyFont="1" applyBorder="1" applyAlignment="1">
      <alignment vertical="center"/>
    </xf>
    <xf numFmtId="0" fontId="3" fillId="0" borderId="1" xfId="0" applyFont="1" applyBorder="1" applyAlignment="1">
      <alignment vertical="center"/>
    </xf>
    <xf numFmtId="0" fontId="3" fillId="0" borderId="20" xfId="0" applyFont="1" applyBorder="1" applyAlignment="1">
      <alignment vertical="center"/>
    </xf>
    <xf numFmtId="0" fontId="3" fillId="0" borderId="48" xfId="0" applyFont="1" applyBorder="1" applyAlignment="1">
      <alignment horizontal="left" vertical="center" indent="3"/>
    </xf>
    <xf numFmtId="0" fontId="3" fillId="0" borderId="2" xfId="0" applyFont="1" applyBorder="1" applyAlignment="1">
      <alignment horizontal="left" vertical="center" indent="3"/>
    </xf>
    <xf numFmtId="0" fontId="3" fillId="0" borderId="43" xfId="0" applyFont="1" applyBorder="1" applyAlignment="1">
      <alignment horizontal="left" vertical="center" indent="3"/>
    </xf>
    <xf numFmtId="0" fontId="3" fillId="0" borderId="48" xfId="0" applyFont="1" applyBorder="1" applyAlignment="1">
      <alignment vertical="center"/>
    </xf>
    <xf numFmtId="0" fontId="3" fillId="0" borderId="2" xfId="0" applyFont="1" applyBorder="1" applyAlignment="1">
      <alignment vertical="center"/>
    </xf>
    <xf numFmtId="0" fontId="3" fillId="0" borderId="43" xfId="0" applyFont="1" applyBorder="1" applyAlignment="1">
      <alignment vertical="center"/>
    </xf>
    <xf numFmtId="0" fontId="3" fillId="0" borderId="47" xfId="0" applyFont="1" applyBorder="1" applyAlignment="1">
      <alignment horizontal="right" vertical="center"/>
    </xf>
    <xf numFmtId="0" fontId="3" fillId="0" borderId="1" xfId="0" applyFont="1" applyBorder="1" applyAlignment="1">
      <alignment horizontal="right" vertical="center"/>
    </xf>
    <xf numFmtId="0" fontId="3" fillId="0" borderId="48" xfId="0" applyFont="1" applyBorder="1" applyAlignment="1">
      <alignment horizontal="right" vertical="center"/>
    </xf>
    <xf numFmtId="0" fontId="3" fillId="0" borderId="2" xfId="0" applyFont="1" applyBorder="1" applyAlignment="1">
      <alignment horizontal="right" vertical="center"/>
    </xf>
    <xf numFmtId="0" fontId="3" fillId="0" borderId="1" xfId="0" applyFont="1" applyBorder="1" applyAlignment="1">
      <alignment horizontal="left" vertical="center"/>
    </xf>
    <xf numFmtId="0" fontId="3" fillId="0" borderId="20" xfId="0" applyFont="1" applyBorder="1" applyAlignment="1">
      <alignment horizontal="left" vertical="center"/>
    </xf>
    <xf numFmtId="38" fontId="32" fillId="0" borderId="101" xfId="1" applyFont="1" applyFill="1" applyBorder="1" applyAlignment="1" applyProtection="1">
      <alignment horizontal="center" vertical="center"/>
    </xf>
    <xf numFmtId="38" fontId="32" fillId="0" borderId="12" xfId="1" applyFont="1" applyFill="1" applyBorder="1" applyAlignment="1" applyProtection="1">
      <alignment horizontal="center" vertical="center"/>
    </xf>
    <xf numFmtId="49" fontId="9" fillId="0" borderId="47" xfId="0" applyNumberFormat="1" applyFont="1" applyBorder="1" applyAlignment="1">
      <alignment horizontal="left" vertical="center" shrinkToFit="1"/>
    </xf>
    <xf numFmtId="49" fontId="9" fillId="0" borderId="1" xfId="0" applyNumberFormat="1" applyFont="1" applyBorder="1" applyAlignment="1">
      <alignment horizontal="left" vertical="center" shrinkToFit="1"/>
    </xf>
    <xf numFmtId="49" fontId="9" fillId="0" borderId="20" xfId="0" applyNumberFormat="1" applyFont="1" applyBorder="1" applyAlignment="1">
      <alignment horizontal="left" vertical="center" shrinkToFit="1"/>
    </xf>
    <xf numFmtId="49" fontId="9" fillId="0" borderId="48" xfId="0" applyNumberFormat="1" applyFont="1" applyBorder="1" applyAlignment="1">
      <alignment horizontal="left" vertical="center" wrapText="1"/>
    </xf>
    <xf numFmtId="49" fontId="9" fillId="0" borderId="2" xfId="0" applyNumberFormat="1" applyFont="1" applyBorder="1" applyAlignment="1">
      <alignment horizontal="left" vertical="center" wrapText="1"/>
    </xf>
    <xf numFmtId="49" fontId="9" fillId="0" borderId="43" xfId="0" applyNumberFormat="1" applyFont="1" applyBorder="1" applyAlignment="1">
      <alignment horizontal="left" vertical="center" wrapText="1"/>
    </xf>
    <xf numFmtId="38" fontId="32" fillId="0" borderId="102" xfId="1" applyFont="1" applyFill="1" applyBorder="1" applyAlignment="1" applyProtection="1">
      <alignment horizontal="center" vertical="center"/>
    </xf>
    <xf numFmtId="38" fontId="32" fillId="0" borderId="103" xfId="1" applyFont="1" applyFill="1" applyBorder="1" applyAlignment="1" applyProtection="1">
      <alignment horizontal="center" vertical="center"/>
    </xf>
    <xf numFmtId="38" fontId="32" fillId="0" borderId="55" xfId="1" applyFont="1" applyFill="1" applyBorder="1" applyAlignment="1" applyProtection="1">
      <alignment horizontal="center" vertical="center"/>
    </xf>
    <xf numFmtId="38" fontId="32" fillId="0" borderId="99" xfId="1" applyFont="1" applyFill="1" applyBorder="1" applyAlignment="1" applyProtection="1">
      <alignment horizontal="center" vertical="center"/>
    </xf>
    <xf numFmtId="38" fontId="33" fillId="0" borderId="32" xfId="1" applyFont="1" applyFill="1" applyBorder="1" applyAlignment="1" applyProtection="1">
      <alignment horizontal="center" vertical="center"/>
    </xf>
    <xf numFmtId="38" fontId="33" fillId="0" borderId="104" xfId="1" applyFont="1" applyFill="1" applyBorder="1" applyAlignment="1" applyProtection="1">
      <alignment horizontal="center" vertical="center"/>
    </xf>
    <xf numFmtId="2" fontId="53" fillId="0" borderId="53" xfId="0" applyNumberFormat="1" applyFont="1" applyBorder="1" applyAlignment="1">
      <alignment horizontal="center" vertical="center"/>
    </xf>
    <xf numFmtId="2" fontId="53" fillId="0" borderId="15" xfId="0" applyNumberFormat="1" applyFont="1" applyBorder="1" applyAlignment="1">
      <alignment horizontal="center" vertical="center"/>
    </xf>
    <xf numFmtId="38" fontId="32" fillId="0" borderId="17" xfId="1" applyFont="1" applyFill="1" applyBorder="1" applyAlignment="1" applyProtection="1">
      <alignment horizontal="center" vertical="center"/>
    </xf>
    <xf numFmtId="38" fontId="32" fillId="0" borderId="18" xfId="1" applyFont="1" applyFill="1" applyBorder="1" applyAlignment="1" applyProtection="1">
      <alignment horizontal="center" vertical="center"/>
    </xf>
    <xf numFmtId="0" fontId="32" fillId="0" borderId="47" xfId="0" applyFont="1" applyBorder="1" applyAlignment="1">
      <alignment horizontal="center" vertical="center"/>
    </xf>
    <xf numFmtId="0" fontId="32" fillId="0" borderId="1" xfId="0" applyFont="1" applyBorder="1" applyAlignment="1">
      <alignment horizontal="center" vertical="center"/>
    </xf>
    <xf numFmtId="0" fontId="32" fillId="0" borderId="20" xfId="0" applyFont="1" applyBorder="1" applyAlignment="1">
      <alignment horizontal="center" vertical="center"/>
    </xf>
    <xf numFmtId="0" fontId="32" fillId="0" borderId="48" xfId="0" applyFont="1" applyBorder="1" applyAlignment="1">
      <alignment horizontal="center" vertical="center"/>
    </xf>
    <xf numFmtId="0" fontId="32" fillId="0" borderId="2" xfId="0" applyFont="1" applyBorder="1" applyAlignment="1">
      <alignment horizontal="center" vertical="center"/>
    </xf>
    <xf numFmtId="0" fontId="32" fillId="0" borderId="43" xfId="0" applyFont="1" applyBorder="1" applyAlignment="1">
      <alignment horizontal="center" vertical="center"/>
    </xf>
    <xf numFmtId="0" fontId="34" fillId="0" borderId="107" xfId="0" applyFont="1" applyBorder="1" applyAlignment="1">
      <alignment horizontal="center" vertical="center"/>
    </xf>
    <xf numFmtId="0" fontId="34" fillId="0" borderId="1" xfId="0" applyFont="1" applyBorder="1" applyAlignment="1">
      <alignment horizontal="center" vertical="center"/>
    </xf>
    <xf numFmtId="0" fontId="34" fillId="0" borderId="20" xfId="0" applyFont="1" applyBorder="1" applyAlignment="1">
      <alignment horizontal="center" vertical="center"/>
    </xf>
    <xf numFmtId="0" fontId="34" fillId="0" borderId="108" xfId="0" applyFont="1" applyBorder="1" applyAlignment="1">
      <alignment horizontal="center" vertical="center"/>
    </xf>
    <xf numFmtId="0" fontId="34" fillId="0" borderId="0" xfId="0" applyFont="1" applyAlignment="1">
      <alignment horizontal="center" vertical="center"/>
    </xf>
    <xf numFmtId="0" fontId="34" fillId="0" borderId="21" xfId="0" applyFont="1" applyBorder="1" applyAlignment="1">
      <alignment horizontal="center" vertical="center"/>
    </xf>
    <xf numFmtId="38" fontId="32" fillId="0" borderId="53" xfId="1" applyFont="1" applyFill="1" applyBorder="1" applyAlignment="1" applyProtection="1">
      <alignment horizontal="center" vertical="center"/>
    </xf>
    <xf numFmtId="38" fontId="32" fillId="0" borderId="15" xfId="1" applyFont="1" applyFill="1" applyBorder="1" applyAlignment="1" applyProtection="1">
      <alignment horizontal="center" vertical="center"/>
    </xf>
    <xf numFmtId="2" fontId="53" fillId="0" borderId="101" xfId="0" applyNumberFormat="1" applyFont="1" applyBorder="1" applyAlignment="1">
      <alignment horizontal="center" vertical="center"/>
    </xf>
    <xf numFmtId="2" fontId="53" fillId="0" borderId="12" xfId="0" applyNumberFormat="1" applyFont="1" applyBorder="1" applyAlignment="1">
      <alignment horizontal="center" vertical="center"/>
    </xf>
    <xf numFmtId="0" fontId="31" fillId="0" borderId="47" xfId="0" applyFont="1" applyBorder="1" applyAlignment="1">
      <alignment horizontal="center" vertical="center"/>
    </xf>
    <xf numFmtId="0" fontId="31" fillId="0" borderId="20" xfId="0" applyFont="1" applyBorder="1" applyAlignment="1">
      <alignment horizontal="center" vertical="center"/>
    </xf>
    <xf numFmtId="0" fontId="34" fillId="0" borderId="111" xfId="0" applyFont="1" applyBorder="1" applyAlignment="1">
      <alignment horizontal="center" vertical="center"/>
    </xf>
    <xf numFmtId="0" fontId="33" fillId="0" borderId="3" xfId="0" applyFont="1" applyBorder="1" applyAlignment="1">
      <alignment horizontal="center" vertical="center"/>
    </xf>
    <xf numFmtId="0" fontId="33" fillId="0" borderId="63" xfId="0" applyFont="1" applyBorder="1" applyAlignment="1">
      <alignment horizontal="center" vertical="center"/>
    </xf>
    <xf numFmtId="0" fontId="32" fillId="0" borderId="0" xfId="0" applyFont="1" applyAlignment="1">
      <alignment horizontal="center" vertical="center"/>
    </xf>
    <xf numFmtId="0" fontId="32" fillId="0" borderId="11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6" fillId="0" borderId="3" xfId="0" applyFont="1" applyBorder="1" applyAlignment="1">
      <alignment horizontal="center" vertical="center"/>
    </xf>
    <xf numFmtId="0" fontId="45" fillId="0" borderId="4" xfId="0" applyFont="1" applyBorder="1" applyAlignment="1">
      <alignment horizontal="center" vertical="center"/>
    </xf>
    <xf numFmtId="0" fontId="45" fillId="0" borderId="63" xfId="0" applyFont="1" applyBorder="1" applyAlignment="1">
      <alignment horizontal="center"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2" fontId="9" fillId="8" borderId="32" xfId="0" applyNumberFormat="1" applyFont="1" applyFill="1" applyBorder="1" applyAlignment="1" applyProtection="1">
      <alignment horizontal="right" vertical="center"/>
      <protection locked="0"/>
    </xf>
    <xf numFmtId="2" fontId="9" fillId="8" borderId="15" xfId="0" applyNumberFormat="1" applyFont="1" applyFill="1" applyBorder="1" applyAlignment="1" applyProtection="1">
      <alignment horizontal="right" vertical="center"/>
      <protection locked="0"/>
    </xf>
    <xf numFmtId="2" fontId="9" fillId="3" borderId="17" xfId="0" applyNumberFormat="1" applyFont="1" applyFill="1" applyBorder="1" applyAlignment="1" applyProtection="1">
      <alignment horizontal="right" vertical="center"/>
      <protection locked="0"/>
    </xf>
    <xf numFmtId="2" fontId="9" fillId="3" borderId="12" xfId="0" applyNumberFormat="1" applyFont="1" applyFill="1" applyBorder="1" applyAlignment="1" applyProtection="1">
      <alignment horizontal="right" vertical="center"/>
      <protection locked="0"/>
    </xf>
    <xf numFmtId="0" fontId="0" fillId="3" borderId="3" xfId="0" applyFill="1" applyBorder="1" applyAlignment="1" applyProtection="1">
      <alignment horizontal="center"/>
      <protection locked="0"/>
    </xf>
    <xf numFmtId="0" fontId="0" fillId="3" borderId="5" xfId="0" applyFill="1" applyBorder="1" applyAlignment="1" applyProtection="1">
      <alignment horizontal="center"/>
      <protection locked="0"/>
    </xf>
    <xf numFmtId="38" fontId="9" fillId="3" borderId="3" xfId="1" applyFont="1" applyFill="1" applyBorder="1" applyAlignment="1" applyProtection="1">
      <alignment horizontal="center" vertical="center"/>
      <protection locked="0"/>
    </xf>
    <xf numFmtId="38" fontId="9" fillId="3" borderId="5" xfId="1" applyFont="1" applyFill="1" applyBorder="1" applyAlignment="1" applyProtection="1">
      <alignment horizontal="center" vertical="center"/>
      <protection locked="0"/>
    </xf>
    <xf numFmtId="0" fontId="39" fillId="0" borderId="87" xfId="0" applyFont="1" applyBorder="1" applyAlignment="1">
      <alignment horizontal="center" vertical="center"/>
    </xf>
    <xf numFmtId="0" fontId="39" fillId="0" borderId="0" xfId="0" applyFont="1" applyAlignment="1">
      <alignment horizontal="center" vertical="center"/>
    </xf>
    <xf numFmtId="0" fontId="39" fillId="0" borderId="21" xfId="0" applyFont="1" applyBorder="1" applyAlignment="1">
      <alignment horizontal="center" vertical="center"/>
    </xf>
    <xf numFmtId="0" fontId="37" fillId="2" borderId="109" xfId="0" applyFont="1" applyFill="1" applyBorder="1" applyAlignment="1">
      <alignment horizontal="left"/>
    </xf>
    <xf numFmtId="0" fontId="37" fillId="2" borderId="110" xfId="0" applyFont="1" applyFill="1" applyBorder="1" applyAlignment="1">
      <alignment horizontal="left"/>
    </xf>
    <xf numFmtId="0" fontId="37" fillId="2" borderId="55" xfId="0" applyFont="1" applyFill="1" applyBorder="1" applyAlignment="1">
      <alignment horizontal="center"/>
    </xf>
    <xf numFmtId="0" fontId="37" fillId="2" borderId="110" xfId="0" applyFont="1" applyFill="1" applyBorder="1" applyAlignment="1">
      <alignment horizontal="center"/>
    </xf>
    <xf numFmtId="181" fontId="9" fillId="3" borderId="17" xfId="0" applyNumberFormat="1" applyFont="1" applyFill="1" applyBorder="1" applyAlignment="1" applyProtection="1">
      <alignment horizontal="right" vertical="center"/>
      <protection locked="0"/>
    </xf>
    <xf numFmtId="181" fontId="9" fillId="3" borderId="12" xfId="0" applyNumberFormat="1" applyFont="1" applyFill="1" applyBorder="1" applyAlignment="1" applyProtection="1">
      <alignment horizontal="right" vertical="center"/>
      <protection locked="0"/>
    </xf>
    <xf numFmtId="181" fontId="9" fillId="3" borderId="50" xfId="0" applyNumberFormat="1" applyFont="1" applyFill="1" applyBorder="1" applyAlignment="1" applyProtection="1">
      <alignment horizontal="right" vertical="center"/>
      <protection locked="0"/>
    </xf>
    <xf numFmtId="181" fontId="9" fillId="3" borderId="99" xfId="0" applyNumberFormat="1" applyFont="1" applyFill="1" applyBorder="1" applyAlignment="1" applyProtection="1">
      <alignment horizontal="right" vertical="center"/>
      <protection locked="0"/>
    </xf>
    <xf numFmtId="1" fontId="3" fillId="5" borderId="32" xfId="0" applyNumberFormat="1" applyFont="1" applyFill="1" applyBorder="1" applyAlignment="1">
      <alignment horizontal="center" vertical="center"/>
    </xf>
    <xf numFmtId="1" fontId="3" fillId="5" borderId="17" xfId="0" applyNumberFormat="1" applyFont="1" applyFill="1" applyBorder="1" applyAlignment="1">
      <alignment horizontal="center" vertical="center"/>
    </xf>
    <xf numFmtId="0" fontId="3" fillId="2" borderId="0" xfId="0" applyFont="1" applyFill="1" applyAlignment="1">
      <alignment horizontal="center" vertical="center"/>
    </xf>
    <xf numFmtId="1" fontId="3" fillId="5" borderId="50" xfId="0" applyNumberFormat="1" applyFont="1" applyFill="1" applyBorder="1" applyAlignment="1">
      <alignment horizontal="center"/>
    </xf>
    <xf numFmtId="0" fontId="60" fillId="2" borderId="3" xfId="0" applyFont="1" applyFill="1" applyBorder="1" applyAlignment="1">
      <alignment horizontal="center" vertical="center"/>
    </xf>
    <xf numFmtId="0" fontId="60" fillId="2" borderId="4" xfId="0" applyFont="1" applyFill="1" applyBorder="1" applyAlignment="1">
      <alignment horizontal="center" vertical="center"/>
    </xf>
    <xf numFmtId="0" fontId="32" fillId="0" borderId="87" xfId="0" applyFont="1" applyBorder="1" applyAlignment="1">
      <alignment horizontal="center"/>
    </xf>
    <xf numFmtId="0" fontId="32" fillId="0" borderId="0" xfId="0" applyFont="1" applyAlignment="1">
      <alignment horizontal="center"/>
    </xf>
    <xf numFmtId="0" fontId="32" fillId="0" borderId="21" xfId="0" applyFont="1" applyBorder="1" applyAlignment="1">
      <alignment horizontal="center"/>
    </xf>
    <xf numFmtId="0" fontId="34" fillId="2" borderId="87" xfId="0" applyFont="1" applyFill="1" applyBorder="1" applyAlignment="1">
      <alignment horizontal="center" vertical="center"/>
    </xf>
    <xf numFmtId="0" fontId="34" fillId="2" borderId="0" xfId="0" applyFont="1" applyFill="1" applyAlignment="1">
      <alignment horizontal="center" vertical="center"/>
    </xf>
    <xf numFmtId="0" fontId="34" fillId="2" borderId="21" xfId="0" applyFont="1" applyFill="1" applyBorder="1" applyAlignment="1">
      <alignment horizontal="center" vertical="center"/>
    </xf>
    <xf numFmtId="0" fontId="44" fillId="2" borderId="87" xfId="0" applyFont="1" applyFill="1" applyBorder="1" applyAlignment="1">
      <alignment horizontal="center" vertical="center"/>
    </xf>
    <xf numFmtId="0" fontId="44" fillId="2" borderId="0" xfId="0" applyFont="1" applyFill="1" applyAlignment="1">
      <alignment horizontal="center" vertical="center"/>
    </xf>
    <xf numFmtId="0" fontId="44" fillId="2" borderId="21" xfId="0" applyFont="1" applyFill="1" applyBorder="1" applyAlignment="1">
      <alignment horizontal="center" vertical="center"/>
    </xf>
    <xf numFmtId="0" fontId="37" fillId="0" borderId="73" xfId="0" applyFont="1" applyBorder="1" applyAlignment="1">
      <alignment horizontal="center" vertical="center"/>
    </xf>
    <xf numFmtId="0" fontId="37" fillId="0" borderId="17" xfId="0" applyFont="1" applyBorder="1" applyAlignment="1">
      <alignment horizontal="center" vertical="center"/>
    </xf>
    <xf numFmtId="0" fontId="37" fillId="0" borderId="18" xfId="0" applyFont="1" applyBorder="1" applyAlignment="1">
      <alignment horizontal="center" vertical="center"/>
    </xf>
    <xf numFmtId="0" fontId="3" fillId="3" borderId="3"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7" fillId="0" borderId="51" xfId="0" applyFont="1" applyBorder="1" applyAlignment="1">
      <alignment horizontal="center" vertical="center"/>
    </xf>
    <xf numFmtId="0" fontId="37" fillId="0" borderId="105" xfId="0" applyFont="1" applyBorder="1" applyAlignment="1">
      <alignment horizontal="center" vertical="center"/>
    </xf>
    <xf numFmtId="0" fontId="45" fillId="2" borderId="106" xfId="0" applyFont="1" applyFill="1" applyBorder="1" applyAlignment="1">
      <alignment horizontal="center" vertical="center"/>
    </xf>
    <xf numFmtId="0" fontId="45" fillId="2" borderId="32" xfId="0" applyFont="1" applyFill="1" applyBorder="1" applyAlignment="1">
      <alignment horizontal="center" vertical="center"/>
    </xf>
    <xf numFmtId="0" fontId="45" fillId="2" borderId="15" xfId="0" applyFont="1" applyFill="1" applyBorder="1" applyAlignment="1">
      <alignment horizontal="center" vertical="center"/>
    </xf>
    <xf numFmtId="182" fontId="42" fillId="5" borderId="51" xfId="0" applyNumberFormat="1" applyFont="1" applyFill="1" applyBorder="1" applyAlignment="1">
      <alignment horizontal="center" vertical="center"/>
    </xf>
    <xf numFmtId="182" fontId="42" fillId="5" borderId="105" xfId="0" applyNumberFormat="1" applyFont="1" applyFill="1" applyBorder="1" applyAlignment="1">
      <alignment horizontal="center" vertical="center"/>
    </xf>
    <xf numFmtId="0" fontId="40" fillId="0" borderId="101" xfId="0" applyFont="1" applyBorder="1" applyAlignment="1">
      <alignment horizontal="center" vertical="center"/>
    </xf>
    <xf numFmtId="0" fontId="40" fillId="0" borderId="17" xfId="0" applyFont="1" applyBorder="1" applyAlignment="1">
      <alignment horizontal="center" vertical="center"/>
    </xf>
    <xf numFmtId="0" fontId="40" fillId="0" borderId="12" xfId="0" applyFont="1" applyBorder="1" applyAlignment="1">
      <alignment horizontal="center" vertical="center"/>
    </xf>
    <xf numFmtId="0" fontId="39" fillId="0" borderId="101" xfId="0" applyFont="1" applyBorder="1" applyAlignment="1">
      <alignment horizontal="center" vertical="center"/>
    </xf>
    <xf numFmtId="0" fontId="39" fillId="0" borderId="17" xfId="0" applyFont="1" applyBorder="1" applyAlignment="1">
      <alignment horizontal="center" vertical="center"/>
    </xf>
    <xf numFmtId="2" fontId="40" fillId="0" borderId="73" xfId="0" applyNumberFormat="1" applyFont="1" applyBorder="1" applyAlignment="1">
      <alignment horizontal="center" vertical="center"/>
    </xf>
    <xf numFmtId="2" fontId="40" fillId="0" borderId="17" xfId="0" applyNumberFormat="1" applyFont="1" applyBorder="1" applyAlignment="1">
      <alignment horizontal="center" vertical="center"/>
    </xf>
    <xf numFmtId="2" fontId="40" fillId="0" borderId="18" xfId="0" applyNumberFormat="1" applyFont="1" applyBorder="1" applyAlignment="1">
      <alignment horizontal="center" vertical="center"/>
    </xf>
    <xf numFmtId="0" fontId="40" fillId="3" borderId="3" xfId="0" applyFont="1" applyFill="1" applyBorder="1" applyAlignment="1" applyProtection="1">
      <alignment horizontal="center" vertical="center"/>
      <protection locked="0"/>
    </xf>
    <xf numFmtId="0" fontId="40" fillId="3" borderId="5" xfId="0" applyFont="1" applyFill="1" applyBorder="1" applyAlignment="1" applyProtection="1">
      <alignment horizontal="center" vertical="center"/>
      <protection locked="0"/>
    </xf>
    <xf numFmtId="0" fontId="40" fillId="0" borderId="18" xfId="0" applyFont="1" applyBorder="1" applyAlignment="1">
      <alignment horizontal="center" vertical="center"/>
    </xf>
    <xf numFmtId="0" fontId="40" fillId="0" borderId="109" xfId="0" applyFont="1" applyBorder="1" applyAlignment="1">
      <alignment horizontal="center" vertical="center"/>
    </xf>
    <xf numFmtId="0" fontId="40" fillId="0" borderId="50" xfId="0" applyFont="1" applyBorder="1" applyAlignment="1">
      <alignment horizontal="center" vertical="center"/>
    </xf>
    <xf numFmtId="0" fontId="40" fillId="0" borderId="25" xfId="0" applyFont="1" applyBorder="1" applyAlignment="1">
      <alignment horizontal="center" vertical="center"/>
    </xf>
    <xf numFmtId="0" fontId="40" fillId="0" borderId="0" xfId="0" applyFont="1" applyAlignment="1">
      <alignment horizontal="center" vertical="center"/>
    </xf>
    <xf numFmtId="0" fontId="40" fillId="0" borderId="105" xfId="0" applyFont="1" applyBorder="1" applyAlignment="1">
      <alignment horizontal="center" vertical="center"/>
    </xf>
    <xf numFmtId="0" fontId="40" fillId="0" borderId="24" xfId="0" applyFont="1" applyBorder="1" applyAlignment="1">
      <alignment horizontal="center" vertical="center"/>
    </xf>
    <xf numFmtId="0" fontId="40" fillId="2" borderId="101" xfId="0" applyFont="1" applyFill="1" applyBorder="1" applyAlignment="1">
      <alignment horizontal="center" vertical="center"/>
    </xf>
    <xf numFmtId="0" fontId="40" fillId="2" borderId="17" xfId="0" applyFont="1" applyFill="1" applyBorder="1" applyAlignment="1">
      <alignment horizontal="center" vertical="center"/>
    </xf>
    <xf numFmtId="0" fontId="40" fillId="2" borderId="12" xfId="0" applyFont="1" applyFill="1" applyBorder="1" applyAlignment="1">
      <alignment horizontal="center" vertical="center"/>
    </xf>
    <xf numFmtId="0" fontId="32" fillId="2" borderId="0" xfId="0" applyFont="1" applyFill="1" applyAlignment="1">
      <alignment horizontal="left" vertical="center"/>
    </xf>
    <xf numFmtId="0" fontId="32" fillId="2" borderId="21" xfId="0" applyFont="1" applyFill="1" applyBorder="1" applyAlignment="1">
      <alignment horizontal="left" vertical="center"/>
    </xf>
    <xf numFmtId="0" fontId="31" fillId="2" borderId="0" xfId="0" applyFont="1" applyFill="1" applyAlignment="1">
      <alignment horizontal="left" vertical="center"/>
    </xf>
    <xf numFmtId="0" fontId="31" fillId="2" borderId="21" xfId="0" applyFont="1" applyFill="1" applyBorder="1" applyAlignment="1">
      <alignment horizontal="left" vertical="center"/>
    </xf>
    <xf numFmtId="0" fontId="3" fillId="8" borderId="3" xfId="0" applyFont="1" applyFill="1" applyBorder="1" applyAlignment="1" applyProtection="1">
      <alignment horizontal="center" vertical="center"/>
      <protection locked="0"/>
    </xf>
    <xf numFmtId="0" fontId="3" fillId="8" borderId="4" xfId="0" applyFont="1" applyFill="1" applyBorder="1" applyAlignment="1" applyProtection="1">
      <alignment horizontal="center" vertical="center"/>
      <protection locked="0"/>
    </xf>
    <xf numFmtId="0" fontId="3" fillId="8" borderId="5" xfId="0" applyFont="1" applyFill="1" applyBorder="1" applyAlignment="1" applyProtection="1">
      <alignment horizontal="center" vertical="center"/>
      <protection locked="0"/>
    </xf>
    <xf numFmtId="14" fontId="9" fillId="8" borderId="3" xfId="0" applyNumberFormat="1" applyFont="1" applyFill="1" applyBorder="1" applyAlignment="1" applyProtection="1">
      <alignment horizontal="center" vertical="center"/>
      <protection locked="0"/>
    </xf>
    <xf numFmtId="14" fontId="9" fillId="8" borderId="4" xfId="0" applyNumberFormat="1" applyFont="1" applyFill="1" applyBorder="1" applyAlignment="1" applyProtection="1">
      <alignment horizontal="center" vertical="center"/>
      <protection locked="0"/>
    </xf>
    <xf numFmtId="14" fontId="9" fillId="8" borderId="5" xfId="0" applyNumberFormat="1" applyFont="1" applyFill="1" applyBorder="1" applyAlignment="1" applyProtection="1">
      <alignment horizontal="center" vertical="center"/>
      <protection locked="0"/>
    </xf>
    <xf numFmtId="49" fontId="3" fillId="8" borderId="3" xfId="0" applyNumberFormat="1" applyFont="1" applyFill="1" applyBorder="1" applyAlignment="1" applyProtection="1">
      <alignment horizontal="center" vertical="center"/>
      <protection locked="0"/>
    </xf>
    <xf numFmtId="49" fontId="3" fillId="8" borderId="4" xfId="0" applyNumberFormat="1" applyFont="1" applyFill="1" applyBorder="1" applyAlignment="1" applyProtection="1">
      <alignment horizontal="center" vertical="center"/>
      <protection locked="0"/>
    </xf>
    <xf numFmtId="49" fontId="3" fillId="8" borderId="5" xfId="0" applyNumberFormat="1" applyFont="1" applyFill="1" applyBorder="1" applyAlignment="1" applyProtection="1">
      <alignment horizontal="center" vertical="center"/>
      <protection locked="0"/>
    </xf>
    <xf numFmtId="0" fontId="31" fillId="2" borderId="0" xfId="0" applyFont="1" applyFill="1" applyAlignment="1">
      <alignment vertical="center"/>
    </xf>
    <xf numFmtId="0" fontId="31" fillId="2" borderId="0" xfId="0" applyFont="1" applyFill="1"/>
    <xf numFmtId="2" fontId="9" fillId="3" borderId="50" xfId="0" applyNumberFormat="1" applyFont="1" applyFill="1" applyBorder="1" applyAlignment="1" applyProtection="1">
      <alignment horizontal="right" vertical="center"/>
      <protection locked="0"/>
    </xf>
    <xf numFmtId="2" fontId="9" fillId="3" borderId="99" xfId="0" applyNumberFormat="1" applyFont="1" applyFill="1" applyBorder="1" applyAlignment="1" applyProtection="1">
      <alignment horizontal="right" vertical="center"/>
      <protection locked="0"/>
    </xf>
    <xf numFmtId="0" fontId="40" fillId="0" borderId="73" xfId="0" applyFont="1" applyBorder="1" applyAlignment="1">
      <alignment horizontal="center" vertical="center"/>
    </xf>
    <xf numFmtId="0" fontId="37" fillId="0" borderId="106" xfId="0" applyFont="1" applyBorder="1" applyAlignment="1">
      <alignment horizontal="center" vertical="center"/>
    </xf>
    <xf numFmtId="0" fontId="37" fillId="0" borderId="32" xfId="0" applyFont="1" applyBorder="1" applyAlignment="1">
      <alignment horizontal="center" vertical="center"/>
    </xf>
    <xf numFmtId="0" fontId="37" fillId="0" borderId="104" xfId="0" applyFont="1" applyBorder="1" applyAlignment="1">
      <alignment horizontal="center" vertical="center"/>
    </xf>
    <xf numFmtId="0" fontId="3" fillId="5" borderId="4" xfId="0" applyFont="1" applyFill="1" applyBorder="1" applyAlignment="1">
      <alignment horizontal="center" vertical="center"/>
    </xf>
    <xf numFmtId="0" fontId="27" fillId="2" borderId="106" xfId="0" applyFont="1" applyFill="1" applyBorder="1" applyAlignment="1">
      <alignment horizontal="center" vertical="center"/>
    </xf>
    <xf numFmtId="0" fontId="27" fillId="2" borderId="32" xfId="0" applyFont="1" applyFill="1" applyBorder="1" applyAlignment="1">
      <alignment horizontal="center" vertical="center"/>
    </xf>
    <xf numFmtId="0" fontId="27" fillId="2" borderId="15" xfId="0" applyFont="1" applyFill="1" applyBorder="1" applyAlignment="1">
      <alignment horizontal="center" vertical="center"/>
    </xf>
    <xf numFmtId="3" fontId="42" fillId="5" borderId="51" xfId="0" applyNumberFormat="1" applyFont="1" applyFill="1" applyBorder="1" applyAlignment="1">
      <alignment horizontal="center" vertical="center"/>
    </xf>
    <xf numFmtId="3" fontId="42" fillId="5" borderId="105" xfId="0" applyNumberFormat="1" applyFont="1" applyFill="1" applyBorder="1" applyAlignment="1">
      <alignment horizontal="center" vertical="center"/>
    </xf>
    <xf numFmtId="3" fontId="42" fillId="5" borderId="24" xfId="0" applyNumberFormat="1" applyFont="1" applyFill="1" applyBorder="1" applyAlignment="1">
      <alignment horizontal="center" vertical="center"/>
    </xf>
    <xf numFmtId="0" fontId="43" fillId="2" borderId="106" xfId="0" applyFont="1" applyFill="1" applyBorder="1" applyAlignment="1">
      <alignment horizontal="center" vertical="center"/>
    </xf>
    <xf numFmtId="0" fontId="43" fillId="2" borderId="32" xfId="0" applyFont="1" applyFill="1" applyBorder="1" applyAlignment="1">
      <alignment horizontal="center" vertical="center"/>
    </xf>
    <xf numFmtId="0" fontId="43" fillId="2" borderId="15" xfId="0" applyFont="1" applyFill="1" applyBorder="1" applyAlignment="1">
      <alignment horizontal="center" vertical="center"/>
    </xf>
    <xf numFmtId="0" fontId="40" fillId="2" borderId="18" xfId="0" applyFont="1" applyFill="1" applyBorder="1" applyAlignment="1">
      <alignment horizontal="center" vertical="center"/>
    </xf>
    <xf numFmtId="3" fontId="39" fillId="0" borderId="54" xfId="0" applyNumberFormat="1" applyFont="1" applyBorder="1" applyAlignment="1">
      <alignment horizontal="center"/>
    </xf>
    <xf numFmtId="3" fontId="39" fillId="0" borderId="22" xfId="0" applyNumberFormat="1" applyFont="1" applyBorder="1" applyAlignment="1">
      <alignment horizontal="center"/>
    </xf>
    <xf numFmtId="0" fontId="40" fillId="0" borderId="34" xfId="0" applyFont="1" applyBorder="1" applyAlignment="1">
      <alignment horizontal="center" vertical="center"/>
    </xf>
    <xf numFmtId="0" fontId="55" fillId="2" borderId="0" xfId="0" applyFont="1" applyFill="1" applyAlignment="1">
      <alignment horizontal="left" vertical="center"/>
    </xf>
    <xf numFmtId="177" fontId="48" fillId="2" borderId="0" xfId="0" applyNumberFormat="1" applyFont="1" applyFill="1" applyAlignment="1">
      <alignment horizontal="left" vertical="center"/>
    </xf>
    <xf numFmtId="177" fontId="48" fillId="2" borderId="21" xfId="0" applyNumberFormat="1" applyFont="1" applyFill="1" applyBorder="1" applyAlignment="1">
      <alignment horizontal="left" vertical="center"/>
    </xf>
    <xf numFmtId="1" fontId="65" fillId="5" borderId="139" xfId="0" applyNumberFormat="1" applyFont="1" applyFill="1" applyBorder="1" applyAlignment="1">
      <alignment horizontal="center" vertical="center"/>
    </xf>
    <xf numFmtId="1" fontId="65" fillId="5" borderId="140" xfId="0" applyNumberFormat="1" applyFont="1" applyFill="1" applyBorder="1" applyAlignment="1">
      <alignment horizontal="center" vertical="center"/>
    </xf>
    <xf numFmtId="1" fontId="65" fillId="5" borderId="141" xfId="0" applyNumberFormat="1" applyFont="1" applyFill="1" applyBorder="1" applyAlignment="1">
      <alignment horizontal="center" vertical="center"/>
    </xf>
    <xf numFmtId="0" fontId="38" fillId="2" borderId="0" xfId="0" applyFont="1" applyFill="1" applyAlignment="1">
      <alignment horizontal="center" vertical="center"/>
    </xf>
    <xf numFmtId="0" fontId="38" fillId="2" borderId="21" xfId="0" applyFont="1" applyFill="1" applyBorder="1" applyAlignment="1">
      <alignment horizontal="center" vertical="center"/>
    </xf>
    <xf numFmtId="2" fontId="21" fillId="5" borderId="4" xfId="0" applyNumberFormat="1" applyFont="1" applyFill="1" applyBorder="1" applyAlignment="1">
      <alignment horizontal="center" vertical="center"/>
    </xf>
    <xf numFmtId="38" fontId="52" fillId="5" borderId="4" xfId="0" applyNumberFormat="1" applyFont="1" applyFill="1" applyBorder="1" applyAlignment="1">
      <alignment horizontal="center" vertical="center"/>
    </xf>
    <xf numFmtId="38" fontId="32" fillId="0" borderId="105" xfId="1" applyFont="1" applyFill="1" applyBorder="1" applyAlignment="1" applyProtection="1">
      <alignment horizontal="center" vertical="center"/>
    </xf>
    <xf numFmtId="38" fontId="32" fillId="0" borderId="52" xfId="1" applyFont="1" applyFill="1" applyBorder="1" applyAlignment="1" applyProtection="1">
      <alignment horizontal="center" vertical="center"/>
    </xf>
    <xf numFmtId="0" fontId="40" fillId="0" borderId="106" xfId="0" applyFont="1" applyBorder="1" applyAlignment="1">
      <alignment horizontal="center" vertical="center"/>
    </xf>
    <xf numFmtId="0" fontId="40" fillId="0" borderId="32" xfId="0" applyFont="1" applyBorder="1" applyAlignment="1">
      <alignment horizontal="center" vertical="center"/>
    </xf>
    <xf numFmtId="0" fontId="40" fillId="0" borderId="104" xfId="0" applyFont="1" applyBorder="1" applyAlignment="1">
      <alignment horizontal="center" vertical="center"/>
    </xf>
    <xf numFmtId="0" fontId="40" fillId="2" borderId="53" xfId="0" applyFont="1" applyFill="1" applyBorder="1" applyAlignment="1">
      <alignment horizontal="center" vertical="center"/>
    </xf>
    <xf numFmtId="0" fontId="40" fillId="2" borderId="104"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40" fillId="2" borderId="32" xfId="0" applyFont="1" applyFill="1" applyBorder="1" applyAlignment="1">
      <alignment horizontal="center" vertical="center"/>
    </xf>
    <xf numFmtId="0" fontId="40" fillId="2" borderId="15" xfId="0" applyFont="1" applyFill="1" applyBorder="1" applyAlignment="1">
      <alignment horizontal="center" vertical="center"/>
    </xf>
    <xf numFmtId="38" fontId="52" fillId="5" borderId="4" xfId="0" applyNumberFormat="1" applyFont="1" applyFill="1" applyBorder="1" applyAlignment="1">
      <alignment horizontal="righ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9" fillId="5" borderId="4"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181" fontId="9" fillId="3" borderId="113" xfId="0" applyNumberFormat="1" applyFont="1" applyFill="1" applyBorder="1" applyAlignment="1" applyProtection="1">
      <alignment horizontal="right" vertical="center"/>
      <protection locked="0"/>
    </xf>
    <xf numFmtId="181" fontId="9" fillId="3" borderId="24" xfId="0" applyNumberFormat="1" applyFont="1" applyFill="1" applyBorder="1" applyAlignment="1" applyProtection="1">
      <alignment horizontal="right" vertical="center"/>
      <protection locked="0"/>
    </xf>
    <xf numFmtId="0" fontId="66" fillId="2" borderId="0" xfId="0" applyFont="1" applyFill="1" applyAlignment="1">
      <alignment horizontal="center"/>
    </xf>
    <xf numFmtId="176" fontId="3" fillId="2" borderId="0" xfId="0" applyNumberFormat="1" applyFont="1" applyFill="1" applyAlignment="1">
      <alignment horizontal="center"/>
    </xf>
    <xf numFmtId="3" fontId="3" fillId="0" borderId="3" xfId="0" applyNumberFormat="1" applyFont="1" applyBorder="1" applyAlignment="1">
      <alignment horizontal="right"/>
    </xf>
    <xf numFmtId="3" fontId="3" fillId="0" borderId="4" xfId="0" applyNumberFormat="1" applyFont="1" applyBorder="1" applyAlignment="1">
      <alignment horizontal="right"/>
    </xf>
    <xf numFmtId="3" fontId="3" fillId="0" borderId="5" xfId="0" applyNumberFormat="1" applyFont="1" applyBorder="1" applyAlignment="1">
      <alignment horizontal="right"/>
    </xf>
    <xf numFmtId="0" fontId="3" fillId="0" borderId="3" xfId="0" applyFont="1" applyBorder="1" applyAlignment="1">
      <alignment horizontal="right"/>
    </xf>
    <xf numFmtId="0" fontId="3" fillId="0" borderId="4" xfId="0" applyFont="1" applyBorder="1" applyAlignment="1">
      <alignment horizontal="right"/>
    </xf>
    <xf numFmtId="0" fontId="3" fillId="0" borderId="5" xfId="0" applyFont="1" applyBorder="1" applyAlignment="1">
      <alignment horizontal="right"/>
    </xf>
    <xf numFmtId="3" fontId="3" fillId="0" borderId="3" xfId="0" applyNumberFormat="1" applyFont="1" applyBorder="1" applyAlignment="1" applyProtection="1">
      <alignment horizontal="right"/>
      <protection locked="0"/>
    </xf>
    <xf numFmtId="3" fontId="3" fillId="0" borderId="4" xfId="0" applyNumberFormat="1" applyFont="1" applyBorder="1" applyAlignment="1" applyProtection="1">
      <alignment horizontal="right"/>
      <protection locked="0"/>
    </xf>
    <xf numFmtId="3" fontId="3" fillId="0" borderId="5" xfId="0" applyNumberFormat="1" applyFont="1" applyBorder="1" applyAlignment="1" applyProtection="1">
      <alignment horizontal="right"/>
      <protection locked="0"/>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11" fillId="0" borderId="3" xfId="0" applyFont="1" applyBorder="1" applyAlignment="1">
      <alignment horizontal="center"/>
    </xf>
    <xf numFmtId="0" fontId="11" fillId="0" borderId="5" xfId="0" applyFont="1" applyBorder="1" applyAlignment="1">
      <alignment horizontal="center"/>
    </xf>
    <xf numFmtId="0" fontId="3" fillId="0" borderId="3" xfId="0" applyFont="1" applyBorder="1" applyAlignment="1">
      <alignment horizontal="left"/>
    </xf>
    <xf numFmtId="0" fontId="3" fillId="0" borderId="4" xfId="0" applyFont="1" applyBorder="1" applyAlignment="1">
      <alignment horizontal="left"/>
    </xf>
    <xf numFmtId="0" fontId="3" fillId="0" borderId="5" xfId="0" applyFont="1" applyBorder="1" applyAlignment="1">
      <alignment horizontal="left"/>
    </xf>
    <xf numFmtId="0" fontId="10" fillId="0" borderId="3" xfId="0"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3" fontId="3" fillId="0" borderId="6" xfId="0" applyNumberFormat="1" applyFont="1" applyBorder="1" applyAlignment="1">
      <alignment horizontal="right"/>
    </xf>
    <xf numFmtId="0" fontId="3" fillId="0" borderId="6" xfId="0" applyFont="1" applyBorder="1" applyAlignment="1">
      <alignment horizontal="right"/>
    </xf>
    <xf numFmtId="0" fontId="3" fillId="0" borderId="6" xfId="0" applyFont="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3" fontId="3" fillId="0" borderId="3" xfId="0" applyNumberFormat="1" applyFont="1" applyBorder="1" applyAlignment="1">
      <alignment horizontal="center"/>
    </xf>
    <xf numFmtId="3" fontId="3" fillId="0" borderId="4" xfId="0" applyNumberFormat="1" applyFont="1" applyBorder="1" applyAlignment="1">
      <alignment horizontal="center"/>
    </xf>
    <xf numFmtId="3" fontId="3" fillId="0" borderId="5" xfId="0" applyNumberFormat="1" applyFont="1" applyBorder="1" applyAlignment="1">
      <alignment horizontal="center"/>
    </xf>
    <xf numFmtId="1" fontId="3" fillId="2" borderId="0" xfId="0" applyNumberFormat="1" applyFont="1" applyFill="1" applyAlignment="1">
      <alignment horizontal="center"/>
    </xf>
    <xf numFmtId="0" fontId="3" fillId="2" borderId="0" xfId="0" applyFont="1" applyFill="1" applyAlignment="1">
      <alignment horizontal="center"/>
    </xf>
    <xf numFmtId="182" fontId="3" fillId="2" borderId="0" xfId="0" applyNumberFormat="1" applyFont="1" applyFill="1" applyAlignment="1">
      <alignment horizontal="center"/>
    </xf>
    <xf numFmtId="2" fontId="3" fillId="2" borderId="0" xfId="0" applyNumberFormat="1" applyFont="1" applyFill="1" applyAlignment="1">
      <alignment horizontal="center"/>
    </xf>
    <xf numFmtId="0" fontId="9" fillId="0" borderId="3" xfId="0" applyFont="1" applyBorder="1" applyAlignment="1">
      <alignment horizontal="center"/>
    </xf>
    <xf numFmtId="0" fontId="9" fillId="0" borderId="5" xfId="0" applyFont="1" applyBorder="1" applyAlignment="1">
      <alignment horizontal="center"/>
    </xf>
    <xf numFmtId="3" fontId="3" fillId="0" borderId="47" xfId="0" applyNumberFormat="1" applyFont="1" applyBorder="1" applyAlignment="1">
      <alignment horizontal="right"/>
    </xf>
    <xf numFmtId="3" fontId="3" fillId="0" borderId="1" xfId="0" applyNumberFormat="1" applyFont="1" applyBorder="1" applyAlignment="1">
      <alignment horizontal="right"/>
    </xf>
    <xf numFmtId="3" fontId="3" fillId="0" borderId="20" xfId="0" applyNumberFormat="1" applyFont="1" applyBorder="1" applyAlignment="1">
      <alignment horizontal="right"/>
    </xf>
    <xf numFmtId="184" fontId="3" fillId="2" borderId="0" xfId="0" applyNumberFormat="1" applyFont="1" applyFill="1" applyAlignment="1">
      <alignment horizontal="distributed"/>
    </xf>
    <xf numFmtId="0" fontId="5" fillId="2" borderId="0" xfId="0" applyFont="1" applyFill="1" applyAlignment="1" applyProtection="1">
      <alignment horizontal="center" vertical="center" shrinkToFit="1"/>
      <protection locked="0"/>
    </xf>
    <xf numFmtId="0" fontId="8" fillId="2" borderId="0" xfId="0" applyFont="1" applyFill="1" applyAlignment="1">
      <alignment horizontal="center"/>
    </xf>
    <xf numFmtId="0" fontId="4" fillId="2" borderId="0" xfId="0" applyFont="1" applyFill="1" applyAlignment="1">
      <alignment horizontal="center" vertical="center"/>
    </xf>
    <xf numFmtId="0" fontId="7" fillId="2" borderId="0" xfId="0" applyFont="1" applyFill="1" applyAlignment="1">
      <alignment horizontal="center"/>
    </xf>
    <xf numFmtId="176" fontId="5" fillId="2" borderId="0" xfId="0" applyNumberFormat="1" applyFont="1" applyFill="1" applyAlignment="1">
      <alignment horizontal="center"/>
    </xf>
    <xf numFmtId="0" fontId="5" fillId="2" borderId="0" xfId="0" applyFont="1" applyFill="1" applyAlignment="1">
      <alignment horizontal="center"/>
    </xf>
    <xf numFmtId="0" fontId="6" fillId="2" borderId="0" xfId="0" applyFont="1" applyFill="1" applyAlignment="1">
      <alignment horizontal="right"/>
    </xf>
    <xf numFmtId="0" fontId="6" fillId="2" borderId="0" xfId="0" applyFont="1" applyFill="1" applyAlignment="1">
      <alignment horizontal="center"/>
    </xf>
    <xf numFmtId="0" fontId="6" fillId="2" borderId="0" xfId="0" applyFont="1" applyFill="1"/>
    <xf numFmtId="41" fontId="3" fillId="0" borderId="3" xfId="0" applyNumberFormat="1" applyFont="1" applyBorder="1" applyAlignment="1">
      <alignment horizontal="right"/>
    </xf>
    <xf numFmtId="41" fontId="3" fillId="0" borderId="4" xfId="0" applyNumberFormat="1" applyFont="1" applyBorder="1" applyAlignment="1">
      <alignment horizontal="right"/>
    </xf>
    <xf numFmtId="41" fontId="3" fillId="0" borderId="5" xfId="0" applyNumberFormat="1" applyFont="1" applyBorder="1" applyAlignment="1">
      <alignment horizontal="right"/>
    </xf>
    <xf numFmtId="3" fontId="3" fillId="0" borderId="48" xfId="0" applyNumberFormat="1" applyFont="1" applyBorder="1" applyAlignment="1">
      <alignment horizontal="right"/>
    </xf>
    <xf numFmtId="3" fontId="3" fillId="0" borderId="2" xfId="0" applyNumberFormat="1" applyFont="1" applyBorder="1" applyAlignment="1">
      <alignment horizontal="right"/>
    </xf>
    <xf numFmtId="3" fontId="3" fillId="0" borderId="43" xfId="0" applyNumberFormat="1" applyFont="1" applyBorder="1" applyAlignment="1">
      <alignment horizontal="right"/>
    </xf>
    <xf numFmtId="3" fontId="3" fillId="0" borderId="39" xfId="0" applyNumberFormat="1" applyFont="1" applyBorder="1" applyAlignment="1">
      <alignment horizontal="right"/>
    </xf>
    <xf numFmtId="3" fontId="3" fillId="0" borderId="40" xfId="0" applyNumberFormat="1" applyFont="1" applyBorder="1" applyAlignment="1">
      <alignment horizontal="right"/>
    </xf>
    <xf numFmtId="3" fontId="3" fillId="0" borderId="41" xfId="0" applyNumberFormat="1" applyFont="1" applyBorder="1" applyAlignment="1">
      <alignment horizontal="right"/>
    </xf>
    <xf numFmtId="3" fontId="3" fillId="0" borderId="0" xfId="0" applyNumberFormat="1" applyFont="1" applyAlignment="1">
      <alignment horizontal="right"/>
    </xf>
    <xf numFmtId="0" fontId="0" fillId="0" borderId="6" xfId="0" applyBorder="1" applyAlignment="1" applyProtection="1">
      <alignment horizontal="center"/>
      <protection hidden="1"/>
    </xf>
    <xf numFmtId="0" fontId="0" fillId="0" borderId="38" xfId="0" applyBorder="1" applyAlignment="1" applyProtection="1">
      <alignment horizontal="center" vertical="center"/>
      <protection hidden="1"/>
    </xf>
    <xf numFmtId="0" fontId="0" fillId="0" borderId="44" xfId="0" applyBorder="1" applyAlignment="1" applyProtection="1">
      <alignment horizontal="center" vertical="center"/>
      <protection hidden="1"/>
    </xf>
    <xf numFmtId="0" fontId="21" fillId="0" borderId="38" xfId="0" applyFont="1" applyBorder="1" applyAlignment="1" applyProtection="1">
      <alignment horizontal="center" vertical="center"/>
      <protection hidden="1"/>
    </xf>
    <xf numFmtId="0" fontId="21" fillId="0" borderId="44" xfId="0" applyFont="1" applyBorder="1" applyAlignment="1" applyProtection="1">
      <alignment horizontal="center" vertical="center"/>
      <protection hidden="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1" fillId="0" borderId="6" xfId="0" applyFont="1" applyBorder="1" applyAlignment="1" applyProtection="1">
      <alignment horizontal="center"/>
      <protection hidden="1"/>
    </xf>
    <xf numFmtId="0" fontId="0" fillId="0" borderId="6" xfId="0" applyBorder="1" applyAlignment="1">
      <alignment horizontal="center" vertical="center"/>
    </xf>
    <xf numFmtId="0" fontId="21" fillId="0" borderId="6" xfId="0" applyFont="1" applyBorder="1" applyAlignment="1">
      <alignment horizontal="center" vertical="center" wrapText="1"/>
    </xf>
    <xf numFmtId="0" fontId="21" fillId="0" borderId="6" xfId="0" applyFont="1" applyBorder="1" applyAlignment="1">
      <alignment horizontal="center" vertical="center"/>
    </xf>
    <xf numFmtId="0" fontId="13" fillId="0" borderId="6" xfId="0" applyFont="1" applyBorder="1" applyAlignment="1" applyProtection="1">
      <alignment horizontal="center" vertical="center"/>
      <protection hidden="1"/>
    </xf>
    <xf numFmtId="0" fontId="13" fillId="0" borderId="3" xfId="0" applyFont="1" applyBorder="1" applyAlignment="1" applyProtection="1">
      <alignment horizontal="center" vertical="center"/>
      <protection hidden="1"/>
    </xf>
    <xf numFmtId="0" fontId="13" fillId="0" borderId="4" xfId="0" applyFont="1" applyBorder="1" applyAlignment="1" applyProtection="1">
      <alignment horizontal="center" vertical="center"/>
      <protection hidden="1"/>
    </xf>
    <xf numFmtId="0" fontId="13" fillId="0" borderId="5" xfId="0" applyFont="1" applyBorder="1" applyAlignment="1" applyProtection="1">
      <alignment horizontal="center" vertical="center"/>
      <protection hidden="1"/>
    </xf>
    <xf numFmtId="0" fontId="13" fillId="0" borderId="0" xfId="0" applyFont="1" applyAlignment="1" applyProtection="1">
      <alignment horizontal="left" vertical="center"/>
      <protection hidden="1"/>
    </xf>
    <xf numFmtId="0" fontId="13" fillId="0" borderId="6" xfId="0" applyFont="1" applyBorder="1" applyAlignment="1" applyProtection="1">
      <alignment horizontal="center" vertical="center" wrapText="1"/>
      <protection hidden="1"/>
    </xf>
    <xf numFmtId="0" fontId="13" fillId="0" borderId="0" xfId="0" applyFont="1" applyAlignment="1" applyProtection="1">
      <alignment horizontal="center" vertical="center"/>
      <protection hidden="1"/>
    </xf>
    <xf numFmtId="0" fontId="13" fillId="0" borderId="0" xfId="0" applyFont="1" applyAlignment="1" applyProtection="1">
      <alignment horizontal="right" vertical="center"/>
      <protection hidden="1"/>
    </xf>
    <xf numFmtId="0" fontId="13" fillId="0" borderId="120" xfId="0" applyFont="1" applyBorder="1" applyAlignment="1" applyProtection="1">
      <alignment horizontal="center" vertical="center"/>
      <protection hidden="1"/>
    </xf>
    <xf numFmtId="0" fontId="13" fillId="0" borderId="121" xfId="0" applyFont="1" applyBorder="1" applyAlignment="1" applyProtection="1">
      <alignment horizontal="center" vertical="center"/>
      <protection hidden="1"/>
    </xf>
    <xf numFmtId="0" fontId="13" fillId="0" borderId="66" xfId="0" applyFont="1" applyBorder="1" applyAlignment="1" applyProtection="1">
      <alignment horizontal="center" vertical="center"/>
      <protection hidden="1"/>
    </xf>
    <xf numFmtId="0" fontId="13" fillId="0" borderId="125" xfId="0" applyFont="1" applyBorder="1" applyAlignment="1" applyProtection="1">
      <alignment horizontal="center" vertical="center"/>
      <protection hidden="1"/>
    </xf>
    <xf numFmtId="0" fontId="13" fillId="0" borderId="122" xfId="0" applyFont="1" applyBorder="1" applyAlignment="1" applyProtection="1">
      <alignment horizontal="center" vertical="center"/>
      <protection hidden="1"/>
    </xf>
    <xf numFmtId="0" fontId="13" fillId="0" borderId="114" xfId="0" applyFont="1" applyBorder="1" applyAlignment="1" applyProtection="1">
      <alignment horizontal="center" vertical="center"/>
      <protection hidden="1"/>
    </xf>
    <xf numFmtId="0" fontId="13" fillId="0" borderId="115" xfId="0" applyFont="1" applyBorder="1" applyAlignment="1" applyProtection="1">
      <alignment horizontal="center" vertical="center"/>
      <protection hidden="1"/>
    </xf>
    <xf numFmtId="0" fontId="13" fillId="0" borderId="116" xfId="0" applyFont="1" applyBorder="1" applyAlignment="1" applyProtection="1">
      <alignment horizontal="center" vertical="center"/>
      <protection hidden="1"/>
    </xf>
    <xf numFmtId="0" fontId="13" fillId="0" borderId="117" xfId="0" applyFont="1" applyBorder="1" applyAlignment="1" applyProtection="1">
      <alignment horizontal="center" vertical="center"/>
      <protection hidden="1"/>
    </xf>
    <xf numFmtId="0" fontId="17" fillId="0" borderId="0" xfId="0" applyFont="1" applyAlignment="1" applyProtection="1">
      <alignment horizontal="center" vertical="center"/>
      <protection hidden="1"/>
    </xf>
    <xf numFmtId="14" fontId="13" fillId="0" borderId="0" xfId="0" applyNumberFormat="1" applyFont="1" applyAlignment="1" applyProtection="1">
      <alignment horizontal="center" vertical="center"/>
      <protection hidden="1"/>
    </xf>
    <xf numFmtId="0" fontId="13" fillId="0" borderId="60" xfId="0" applyFont="1" applyBorder="1" applyAlignment="1" applyProtection="1">
      <alignment horizontal="center" vertical="center"/>
      <protection hidden="1"/>
    </xf>
    <xf numFmtId="0" fontId="13" fillId="0" borderId="25" xfId="0" applyFont="1" applyBorder="1" applyAlignment="1" applyProtection="1">
      <alignment horizontal="center" vertical="center"/>
      <protection hidden="1"/>
    </xf>
    <xf numFmtId="0" fontId="13" fillId="0" borderId="68" xfId="0" applyFont="1" applyBorder="1" applyAlignment="1" applyProtection="1">
      <alignment horizontal="center" vertical="center"/>
      <protection hidden="1"/>
    </xf>
    <xf numFmtId="0" fontId="13" fillId="0" borderId="69" xfId="0" applyFont="1" applyBorder="1" applyAlignment="1" applyProtection="1">
      <alignment horizontal="center" vertical="center"/>
      <protection hidden="1"/>
    </xf>
    <xf numFmtId="0" fontId="13" fillId="0" borderId="119" xfId="0" applyFont="1" applyBorder="1" applyAlignment="1" applyProtection="1">
      <alignment horizontal="center" vertical="center"/>
      <protection hidden="1"/>
    </xf>
    <xf numFmtId="0" fontId="13" fillId="0" borderId="118" xfId="0" applyFont="1" applyBorder="1" applyAlignment="1" applyProtection="1">
      <alignment horizontal="center" vertical="center"/>
      <protection hidden="1"/>
    </xf>
    <xf numFmtId="0" fontId="13" fillId="6" borderId="122" xfId="0" applyFont="1" applyFill="1" applyBorder="1" applyAlignment="1" applyProtection="1">
      <alignment horizontal="center" vertical="center"/>
      <protection hidden="1"/>
    </xf>
    <xf numFmtId="0" fontId="13" fillId="6" borderId="123" xfId="0" applyFont="1" applyFill="1" applyBorder="1" applyAlignment="1" applyProtection="1">
      <alignment horizontal="center" vertical="center"/>
      <protection hidden="1"/>
    </xf>
    <xf numFmtId="0" fontId="13" fillId="6" borderId="66" xfId="0" applyFont="1" applyFill="1" applyBorder="1" applyAlignment="1" applyProtection="1">
      <alignment horizontal="center" vertical="center"/>
      <protection hidden="1"/>
    </xf>
    <xf numFmtId="0" fontId="13" fillId="6" borderId="124" xfId="0" applyFont="1" applyFill="1" applyBorder="1" applyAlignment="1" applyProtection="1">
      <alignment horizontal="center" vertical="center"/>
      <protection hidden="1"/>
    </xf>
    <xf numFmtId="0" fontId="13" fillId="6" borderId="76" xfId="0" applyFont="1" applyFill="1" applyBorder="1" applyAlignment="1" applyProtection="1">
      <alignment horizontal="center" vertical="center"/>
      <protection hidden="1"/>
    </xf>
    <xf numFmtId="0" fontId="13" fillId="6" borderId="81" xfId="0" applyFont="1" applyFill="1" applyBorder="1" applyAlignment="1" applyProtection="1">
      <alignment horizontal="center" vertical="center"/>
      <protection hidden="1"/>
    </xf>
    <xf numFmtId="0" fontId="13" fillId="6" borderId="107" xfId="0" applyFont="1" applyFill="1" applyBorder="1" applyAlignment="1" applyProtection="1">
      <alignment horizontal="center" vertical="center"/>
      <protection hidden="1"/>
    </xf>
    <xf numFmtId="0" fontId="13" fillId="6" borderId="126" xfId="0" applyFont="1" applyFill="1" applyBorder="1" applyAlignment="1" applyProtection="1">
      <alignment horizontal="center" vertical="center"/>
      <protection hidden="1"/>
    </xf>
    <xf numFmtId="0" fontId="13" fillId="6" borderId="125" xfId="0" applyFont="1" applyFill="1" applyBorder="1" applyAlignment="1" applyProtection="1">
      <alignment horizontal="center" vertical="center"/>
      <protection hidden="1"/>
    </xf>
    <xf numFmtId="0" fontId="13" fillId="6" borderId="127" xfId="0" applyFont="1" applyFill="1" applyBorder="1" applyAlignment="1" applyProtection="1">
      <alignment horizontal="center" vertical="center"/>
      <protection hidden="1"/>
    </xf>
    <xf numFmtId="0" fontId="13" fillId="0" borderId="50" xfId="0" applyFont="1" applyBorder="1" applyAlignment="1" applyProtection="1">
      <alignment horizontal="center" vertical="center"/>
      <protection hidden="1"/>
    </xf>
    <xf numFmtId="0" fontId="13" fillId="0" borderId="76" xfId="0" applyFont="1" applyBorder="1" applyAlignment="1" applyProtection="1">
      <alignment horizontal="center" vertical="center"/>
      <protection hidden="1"/>
    </xf>
    <xf numFmtId="0" fontId="13" fillId="0" borderId="83" xfId="0" applyFont="1" applyBorder="1" applyAlignment="1" applyProtection="1">
      <alignment horizontal="center" vertical="center"/>
      <protection hidden="1"/>
    </xf>
    <xf numFmtId="0" fontId="13" fillId="0" borderId="0" xfId="0" quotePrefix="1" applyFont="1" applyAlignment="1" applyProtection="1">
      <alignment horizontal="right" vertical="center"/>
      <protection hidden="1"/>
    </xf>
    <xf numFmtId="0" fontId="13" fillId="0" borderId="1" xfId="0" applyFont="1" applyBorder="1" applyAlignment="1" applyProtection="1">
      <alignment horizontal="center" vertical="center"/>
      <protection hidden="1"/>
    </xf>
    <xf numFmtId="0" fontId="13" fillId="4" borderId="0" xfId="0" applyFont="1" applyFill="1" applyAlignment="1" applyProtection="1">
      <alignment horizontal="distributed" vertical="center"/>
      <protection hidden="1"/>
    </xf>
    <xf numFmtId="0" fontId="13" fillId="4" borderId="0" xfId="0" applyFont="1" applyFill="1" applyAlignment="1" applyProtection="1">
      <alignment horizontal="center" vertical="center"/>
      <protection hidden="1"/>
    </xf>
    <xf numFmtId="0" fontId="19" fillId="4" borderId="0" xfId="0" applyFont="1" applyFill="1" applyAlignment="1" applyProtection="1">
      <alignment horizontal="center" vertical="center"/>
      <protection hidden="1"/>
    </xf>
    <xf numFmtId="0" fontId="3" fillId="0" borderId="0" xfId="0" applyFont="1" applyAlignment="1" applyProtection="1">
      <alignment horizontal="center" vertical="center"/>
      <protection hidden="1"/>
    </xf>
    <xf numFmtId="0" fontId="13" fillId="0" borderId="6" xfId="0" applyFont="1" applyBorder="1" applyAlignment="1" applyProtection="1">
      <alignment horizontal="left" vertical="center" wrapText="1"/>
      <protection hidden="1"/>
    </xf>
    <xf numFmtId="0" fontId="20" fillId="4" borderId="0" xfId="0" applyFont="1" applyFill="1" applyAlignment="1" applyProtection="1">
      <alignment horizontal="center" vertical="center"/>
      <protection hidden="1"/>
    </xf>
    <xf numFmtId="0" fontId="13" fillId="4" borderId="0" xfId="0" applyFont="1" applyFill="1" applyAlignment="1" applyProtection="1">
      <alignment horizontal="left" vertical="center"/>
      <protection hidden="1"/>
    </xf>
    <xf numFmtId="0" fontId="13" fillId="0" borderId="128" xfId="0" applyFont="1" applyBorder="1" applyAlignment="1" applyProtection="1">
      <alignment horizontal="center" vertical="center"/>
      <protection hidden="1"/>
    </xf>
    <xf numFmtId="0" fontId="13" fillId="0" borderId="129" xfId="0" applyFont="1" applyBorder="1" applyAlignment="1" applyProtection="1">
      <alignment horizontal="center" vertical="center"/>
      <protection hidden="1"/>
    </xf>
    <xf numFmtId="0" fontId="13" fillId="0" borderId="130" xfId="0" applyFont="1" applyBorder="1" applyAlignment="1" applyProtection="1">
      <alignment horizontal="center" vertical="center"/>
      <protection hidden="1"/>
    </xf>
    <xf numFmtId="0" fontId="0" fillId="0" borderId="0" xfId="0" applyAlignment="1" applyProtection="1">
      <alignment horizontal="center"/>
      <protection hidden="1"/>
    </xf>
    <xf numFmtId="0" fontId="21" fillId="0" borderId="6" xfId="0" applyFont="1" applyBorder="1" applyAlignment="1" applyProtection="1">
      <alignment horizontal="center"/>
      <protection hidden="1"/>
    </xf>
  </cellXfs>
  <cellStyles count="3">
    <cellStyle name="桁区切り" xfId="1" builtinId="6"/>
    <cellStyle name="標準" xfId="0" builtinId="0"/>
    <cellStyle name="標準_ラサ一次処理" xfId="2" xr:uid="{B7E1AC20-F1D4-4F81-ABAF-A118B47642AF}"/>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17</xdr:col>
      <xdr:colOff>0</xdr:colOff>
      <xdr:row>4</xdr:row>
      <xdr:rowOff>0</xdr:rowOff>
    </xdr:to>
    <xdr:sp macro="" textlink="">
      <xdr:nvSpPr>
        <xdr:cNvPr id="1470" name="Line 2">
          <a:extLst>
            <a:ext uri="{FF2B5EF4-FFF2-40B4-BE49-F238E27FC236}">
              <a16:creationId xmlns:a16="http://schemas.microsoft.com/office/drawing/2014/main" id="{246CBB66-4F22-25BC-6D27-A93F0166AD8C}"/>
            </a:ext>
          </a:extLst>
        </xdr:cNvPr>
        <xdr:cNvSpPr>
          <a:spLocks noChangeShapeType="1"/>
        </xdr:cNvSpPr>
      </xdr:nvSpPr>
      <xdr:spPr bwMode="auto">
        <a:xfrm>
          <a:off x="4152900" y="685800"/>
          <a:ext cx="12573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15</xdr:row>
      <xdr:rowOff>0</xdr:rowOff>
    </xdr:from>
    <xdr:to>
      <xdr:col>8</xdr:col>
      <xdr:colOff>0</xdr:colOff>
      <xdr:row>15</xdr:row>
      <xdr:rowOff>0</xdr:rowOff>
    </xdr:to>
    <xdr:sp macro="" textlink="">
      <xdr:nvSpPr>
        <xdr:cNvPr id="1471" name="Line 3">
          <a:extLst>
            <a:ext uri="{FF2B5EF4-FFF2-40B4-BE49-F238E27FC236}">
              <a16:creationId xmlns:a16="http://schemas.microsoft.com/office/drawing/2014/main" id="{19E7E238-9555-42A2-D84E-21692C43DFF6}"/>
            </a:ext>
          </a:extLst>
        </xdr:cNvPr>
        <xdr:cNvSpPr>
          <a:spLocks noChangeShapeType="1"/>
        </xdr:cNvSpPr>
      </xdr:nvSpPr>
      <xdr:spPr bwMode="auto">
        <a:xfrm>
          <a:off x="19050" y="2571750"/>
          <a:ext cx="25622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41</xdr:row>
      <xdr:rowOff>38100</xdr:rowOff>
    </xdr:from>
    <xdr:to>
      <xdr:col>15</xdr:col>
      <xdr:colOff>0</xdr:colOff>
      <xdr:row>41</xdr:row>
      <xdr:rowOff>38100</xdr:rowOff>
    </xdr:to>
    <xdr:sp macro="" textlink="">
      <xdr:nvSpPr>
        <xdr:cNvPr id="1472" name="Line 4">
          <a:extLst>
            <a:ext uri="{FF2B5EF4-FFF2-40B4-BE49-F238E27FC236}">
              <a16:creationId xmlns:a16="http://schemas.microsoft.com/office/drawing/2014/main" id="{D3D1E5D8-6ADB-D3BF-FCC1-F9874D025DC3}"/>
            </a:ext>
          </a:extLst>
        </xdr:cNvPr>
        <xdr:cNvSpPr>
          <a:spLocks noChangeShapeType="1"/>
        </xdr:cNvSpPr>
      </xdr:nvSpPr>
      <xdr:spPr bwMode="auto">
        <a:xfrm>
          <a:off x="942975" y="7181850"/>
          <a:ext cx="38385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332</xdr:row>
      <xdr:rowOff>0</xdr:rowOff>
    </xdr:from>
    <xdr:to>
      <xdr:col>4</xdr:col>
      <xdr:colOff>0</xdr:colOff>
      <xdr:row>336</xdr:row>
      <xdr:rowOff>0</xdr:rowOff>
    </xdr:to>
    <xdr:sp macro="" textlink="">
      <xdr:nvSpPr>
        <xdr:cNvPr id="11885" name="Line 1">
          <a:extLst>
            <a:ext uri="{FF2B5EF4-FFF2-40B4-BE49-F238E27FC236}">
              <a16:creationId xmlns:a16="http://schemas.microsoft.com/office/drawing/2014/main" id="{88CBAAEA-0321-3E6A-0254-70C558DE6AEA}"/>
            </a:ext>
          </a:extLst>
        </xdr:cNvPr>
        <xdr:cNvSpPr>
          <a:spLocks noChangeShapeType="1"/>
        </xdr:cNvSpPr>
      </xdr:nvSpPr>
      <xdr:spPr bwMode="auto">
        <a:xfrm>
          <a:off x="1733550" y="57635775"/>
          <a:ext cx="0" cy="6858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4</xdr:col>
      <xdr:colOff>0</xdr:colOff>
      <xdr:row>334</xdr:row>
      <xdr:rowOff>0</xdr:rowOff>
    </xdr:from>
    <xdr:to>
      <xdr:col>9</xdr:col>
      <xdr:colOff>0</xdr:colOff>
      <xdr:row>334</xdr:row>
      <xdr:rowOff>0</xdr:rowOff>
    </xdr:to>
    <xdr:sp macro="" textlink="">
      <xdr:nvSpPr>
        <xdr:cNvPr id="11886" name="Line 2">
          <a:extLst>
            <a:ext uri="{FF2B5EF4-FFF2-40B4-BE49-F238E27FC236}">
              <a16:creationId xmlns:a16="http://schemas.microsoft.com/office/drawing/2014/main" id="{D2B87B8A-BC2C-49CF-2E8B-E4786B5C3F3E}"/>
            </a:ext>
          </a:extLst>
        </xdr:cNvPr>
        <xdr:cNvSpPr>
          <a:spLocks noChangeShapeType="1"/>
        </xdr:cNvSpPr>
      </xdr:nvSpPr>
      <xdr:spPr bwMode="auto">
        <a:xfrm flipH="1" flipV="1">
          <a:off x="1733550" y="57978675"/>
          <a:ext cx="28765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4</xdr:col>
      <xdr:colOff>0</xdr:colOff>
      <xdr:row>340</xdr:row>
      <xdr:rowOff>0</xdr:rowOff>
    </xdr:from>
    <xdr:to>
      <xdr:col>4</xdr:col>
      <xdr:colOff>0</xdr:colOff>
      <xdr:row>344</xdr:row>
      <xdr:rowOff>0</xdr:rowOff>
    </xdr:to>
    <xdr:sp macro="" textlink="">
      <xdr:nvSpPr>
        <xdr:cNvPr id="11887" name="Line 3">
          <a:extLst>
            <a:ext uri="{FF2B5EF4-FFF2-40B4-BE49-F238E27FC236}">
              <a16:creationId xmlns:a16="http://schemas.microsoft.com/office/drawing/2014/main" id="{FCF33667-F0BA-4A10-B7C1-0200ACED7856}"/>
            </a:ext>
          </a:extLst>
        </xdr:cNvPr>
        <xdr:cNvSpPr>
          <a:spLocks noChangeShapeType="1"/>
        </xdr:cNvSpPr>
      </xdr:nvSpPr>
      <xdr:spPr bwMode="auto">
        <a:xfrm>
          <a:off x="1733550" y="59035950"/>
          <a:ext cx="0" cy="6858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9</xdr:col>
      <xdr:colOff>0</xdr:colOff>
      <xdr:row>341</xdr:row>
      <xdr:rowOff>190500</xdr:rowOff>
    </xdr:from>
    <xdr:to>
      <xdr:col>9</xdr:col>
      <xdr:colOff>0</xdr:colOff>
      <xdr:row>344</xdr:row>
      <xdr:rowOff>0</xdr:rowOff>
    </xdr:to>
    <xdr:sp macro="" textlink="">
      <xdr:nvSpPr>
        <xdr:cNvPr id="11888" name="Line 4">
          <a:extLst>
            <a:ext uri="{FF2B5EF4-FFF2-40B4-BE49-F238E27FC236}">
              <a16:creationId xmlns:a16="http://schemas.microsoft.com/office/drawing/2014/main" id="{BB58F853-B08F-23A9-51A3-9E5B3102AD45}"/>
            </a:ext>
          </a:extLst>
        </xdr:cNvPr>
        <xdr:cNvSpPr>
          <a:spLocks noChangeShapeType="1"/>
        </xdr:cNvSpPr>
      </xdr:nvSpPr>
      <xdr:spPr bwMode="auto">
        <a:xfrm>
          <a:off x="4610100" y="59378850"/>
          <a:ext cx="0" cy="3429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4</xdr:col>
      <xdr:colOff>0</xdr:colOff>
      <xdr:row>342</xdr:row>
      <xdr:rowOff>0</xdr:rowOff>
    </xdr:from>
    <xdr:to>
      <xdr:col>9</xdr:col>
      <xdr:colOff>0</xdr:colOff>
      <xdr:row>342</xdr:row>
      <xdr:rowOff>0</xdr:rowOff>
    </xdr:to>
    <xdr:sp macro="" textlink="">
      <xdr:nvSpPr>
        <xdr:cNvPr id="11889" name="Line 5">
          <a:extLst>
            <a:ext uri="{FF2B5EF4-FFF2-40B4-BE49-F238E27FC236}">
              <a16:creationId xmlns:a16="http://schemas.microsoft.com/office/drawing/2014/main" id="{FB42777D-531D-57A5-CCB7-D36665EF3105}"/>
            </a:ext>
          </a:extLst>
        </xdr:cNvPr>
        <xdr:cNvSpPr>
          <a:spLocks noChangeShapeType="1"/>
        </xdr:cNvSpPr>
      </xdr:nvSpPr>
      <xdr:spPr bwMode="auto">
        <a:xfrm flipV="1">
          <a:off x="1733550" y="59378850"/>
          <a:ext cx="28765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344</xdr:row>
      <xdr:rowOff>0</xdr:rowOff>
    </xdr:from>
    <xdr:to>
      <xdr:col>4</xdr:col>
      <xdr:colOff>0</xdr:colOff>
      <xdr:row>352</xdr:row>
      <xdr:rowOff>0</xdr:rowOff>
    </xdr:to>
    <xdr:sp macro="" textlink="">
      <xdr:nvSpPr>
        <xdr:cNvPr id="11890" name="Line 6">
          <a:extLst>
            <a:ext uri="{FF2B5EF4-FFF2-40B4-BE49-F238E27FC236}">
              <a16:creationId xmlns:a16="http://schemas.microsoft.com/office/drawing/2014/main" id="{8E103036-732B-A964-AD47-B9878BF30B71}"/>
            </a:ext>
          </a:extLst>
        </xdr:cNvPr>
        <xdr:cNvSpPr>
          <a:spLocks noChangeShapeType="1"/>
        </xdr:cNvSpPr>
      </xdr:nvSpPr>
      <xdr:spPr bwMode="auto">
        <a:xfrm>
          <a:off x="1733550" y="59721750"/>
          <a:ext cx="0" cy="14001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4</xdr:col>
      <xdr:colOff>0</xdr:colOff>
      <xdr:row>354</xdr:row>
      <xdr:rowOff>0</xdr:rowOff>
    </xdr:from>
    <xdr:to>
      <xdr:col>4</xdr:col>
      <xdr:colOff>0</xdr:colOff>
      <xdr:row>360</xdr:row>
      <xdr:rowOff>0</xdr:rowOff>
    </xdr:to>
    <xdr:sp macro="" textlink="">
      <xdr:nvSpPr>
        <xdr:cNvPr id="11891" name="Line 7">
          <a:extLst>
            <a:ext uri="{FF2B5EF4-FFF2-40B4-BE49-F238E27FC236}">
              <a16:creationId xmlns:a16="http://schemas.microsoft.com/office/drawing/2014/main" id="{62DF4A9D-89A8-2F96-948A-0570E8F19318}"/>
            </a:ext>
          </a:extLst>
        </xdr:cNvPr>
        <xdr:cNvSpPr>
          <a:spLocks noChangeShapeType="1"/>
        </xdr:cNvSpPr>
      </xdr:nvSpPr>
      <xdr:spPr bwMode="auto">
        <a:xfrm>
          <a:off x="1733550" y="61464825"/>
          <a:ext cx="0" cy="10858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4</xdr:col>
      <xdr:colOff>0</xdr:colOff>
      <xdr:row>358</xdr:row>
      <xdr:rowOff>95250</xdr:rowOff>
    </xdr:from>
    <xdr:to>
      <xdr:col>9</xdr:col>
      <xdr:colOff>0</xdr:colOff>
      <xdr:row>358</xdr:row>
      <xdr:rowOff>95250</xdr:rowOff>
    </xdr:to>
    <xdr:sp macro="" textlink="">
      <xdr:nvSpPr>
        <xdr:cNvPr id="11892" name="Line 8">
          <a:extLst>
            <a:ext uri="{FF2B5EF4-FFF2-40B4-BE49-F238E27FC236}">
              <a16:creationId xmlns:a16="http://schemas.microsoft.com/office/drawing/2014/main" id="{BE917C82-84EE-97BE-E304-1BDFBD47CC48}"/>
            </a:ext>
          </a:extLst>
        </xdr:cNvPr>
        <xdr:cNvSpPr>
          <a:spLocks noChangeShapeType="1"/>
        </xdr:cNvSpPr>
      </xdr:nvSpPr>
      <xdr:spPr bwMode="auto">
        <a:xfrm flipV="1">
          <a:off x="1733550" y="62303025"/>
          <a:ext cx="28765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358</xdr:row>
      <xdr:rowOff>95250</xdr:rowOff>
    </xdr:from>
    <xdr:to>
      <xdr:col>9</xdr:col>
      <xdr:colOff>0</xdr:colOff>
      <xdr:row>360</xdr:row>
      <xdr:rowOff>0</xdr:rowOff>
    </xdr:to>
    <xdr:sp macro="" textlink="">
      <xdr:nvSpPr>
        <xdr:cNvPr id="11893" name="Line 9">
          <a:extLst>
            <a:ext uri="{FF2B5EF4-FFF2-40B4-BE49-F238E27FC236}">
              <a16:creationId xmlns:a16="http://schemas.microsoft.com/office/drawing/2014/main" id="{0934CA7F-9613-5E8F-A54A-99521EBFC299}"/>
            </a:ext>
          </a:extLst>
        </xdr:cNvPr>
        <xdr:cNvSpPr>
          <a:spLocks noChangeShapeType="1"/>
        </xdr:cNvSpPr>
      </xdr:nvSpPr>
      <xdr:spPr bwMode="auto">
        <a:xfrm>
          <a:off x="4610100" y="62303025"/>
          <a:ext cx="0" cy="2476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6</xdr:col>
      <xdr:colOff>0</xdr:colOff>
      <xdr:row>354</xdr:row>
      <xdr:rowOff>0</xdr:rowOff>
    </xdr:from>
    <xdr:to>
      <xdr:col>7</xdr:col>
      <xdr:colOff>0</xdr:colOff>
      <xdr:row>354</xdr:row>
      <xdr:rowOff>0</xdr:rowOff>
    </xdr:to>
    <xdr:sp macro="" textlink="">
      <xdr:nvSpPr>
        <xdr:cNvPr id="11894" name="Line 10">
          <a:extLst>
            <a:ext uri="{FF2B5EF4-FFF2-40B4-BE49-F238E27FC236}">
              <a16:creationId xmlns:a16="http://schemas.microsoft.com/office/drawing/2014/main" id="{5FE4EB9E-2264-FB81-30B8-2F337F03FF3F}"/>
            </a:ext>
          </a:extLst>
        </xdr:cNvPr>
        <xdr:cNvSpPr>
          <a:spLocks noChangeShapeType="1"/>
        </xdr:cNvSpPr>
      </xdr:nvSpPr>
      <xdr:spPr bwMode="auto">
        <a:xfrm flipH="1" flipV="1">
          <a:off x="2847975" y="61464825"/>
          <a:ext cx="6477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xdr:col>
      <xdr:colOff>0</xdr:colOff>
      <xdr:row>330</xdr:row>
      <xdr:rowOff>0</xdr:rowOff>
    </xdr:from>
    <xdr:to>
      <xdr:col>2</xdr:col>
      <xdr:colOff>0</xdr:colOff>
      <xdr:row>330</xdr:row>
      <xdr:rowOff>0</xdr:rowOff>
    </xdr:to>
    <xdr:sp macro="" textlink="">
      <xdr:nvSpPr>
        <xdr:cNvPr id="11895" name="Line 11">
          <a:extLst>
            <a:ext uri="{FF2B5EF4-FFF2-40B4-BE49-F238E27FC236}">
              <a16:creationId xmlns:a16="http://schemas.microsoft.com/office/drawing/2014/main" id="{6E119D62-0592-13B0-CE86-B8B43036CCF7}"/>
            </a:ext>
          </a:extLst>
        </xdr:cNvPr>
        <xdr:cNvSpPr>
          <a:spLocks noChangeShapeType="1"/>
        </xdr:cNvSpPr>
      </xdr:nvSpPr>
      <xdr:spPr bwMode="auto">
        <a:xfrm>
          <a:off x="152400" y="57264300"/>
          <a:ext cx="5619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xdr:col>
      <xdr:colOff>0</xdr:colOff>
      <xdr:row>330</xdr:row>
      <xdr:rowOff>0</xdr:rowOff>
    </xdr:from>
    <xdr:to>
      <xdr:col>1</xdr:col>
      <xdr:colOff>0</xdr:colOff>
      <xdr:row>354</xdr:row>
      <xdr:rowOff>0</xdr:rowOff>
    </xdr:to>
    <xdr:sp macro="" textlink="">
      <xdr:nvSpPr>
        <xdr:cNvPr id="11896" name="Line 12">
          <a:extLst>
            <a:ext uri="{FF2B5EF4-FFF2-40B4-BE49-F238E27FC236}">
              <a16:creationId xmlns:a16="http://schemas.microsoft.com/office/drawing/2014/main" id="{9FEC9310-346B-FCF9-FCF6-22AE2A3A0FEC}"/>
            </a:ext>
          </a:extLst>
        </xdr:cNvPr>
        <xdr:cNvSpPr>
          <a:spLocks noChangeShapeType="1"/>
        </xdr:cNvSpPr>
      </xdr:nvSpPr>
      <xdr:spPr bwMode="auto">
        <a:xfrm flipV="1">
          <a:off x="152400" y="57264300"/>
          <a:ext cx="0" cy="420052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357</xdr:row>
      <xdr:rowOff>95250</xdr:rowOff>
    </xdr:from>
    <xdr:to>
      <xdr:col>7</xdr:col>
      <xdr:colOff>0</xdr:colOff>
      <xdr:row>357</xdr:row>
      <xdr:rowOff>95250</xdr:rowOff>
    </xdr:to>
    <xdr:sp macro="" textlink="">
      <xdr:nvSpPr>
        <xdr:cNvPr id="11897" name="Line 13">
          <a:extLst>
            <a:ext uri="{FF2B5EF4-FFF2-40B4-BE49-F238E27FC236}">
              <a16:creationId xmlns:a16="http://schemas.microsoft.com/office/drawing/2014/main" id="{D5AE9D36-1FF6-B200-9596-38057E89077A}"/>
            </a:ext>
          </a:extLst>
        </xdr:cNvPr>
        <xdr:cNvSpPr>
          <a:spLocks noChangeShapeType="1"/>
        </xdr:cNvSpPr>
      </xdr:nvSpPr>
      <xdr:spPr bwMode="auto">
        <a:xfrm flipH="1">
          <a:off x="2295525" y="62103000"/>
          <a:ext cx="12001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356</xdr:row>
      <xdr:rowOff>0</xdr:rowOff>
    </xdr:from>
    <xdr:to>
      <xdr:col>5</xdr:col>
      <xdr:colOff>0</xdr:colOff>
      <xdr:row>357</xdr:row>
      <xdr:rowOff>95250</xdr:rowOff>
    </xdr:to>
    <xdr:sp macro="" textlink="">
      <xdr:nvSpPr>
        <xdr:cNvPr id="11898" name="Line 14">
          <a:extLst>
            <a:ext uri="{FF2B5EF4-FFF2-40B4-BE49-F238E27FC236}">
              <a16:creationId xmlns:a16="http://schemas.microsoft.com/office/drawing/2014/main" id="{7A713C31-A69E-DD40-2E18-37D7549BFDDD}"/>
            </a:ext>
          </a:extLst>
        </xdr:cNvPr>
        <xdr:cNvSpPr>
          <a:spLocks noChangeShapeType="1"/>
        </xdr:cNvSpPr>
      </xdr:nvSpPr>
      <xdr:spPr bwMode="auto">
        <a:xfrm flipV="1">
          <a:off x="2295525" y="61836300"/>
          <a:ext cx="0" cy="2667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9</xdr:col>
      <xdr:colOff>0</xdr:colOff>
      <xdr:row>334</xdr:row>
      <xdr:rowOff>0</xdr:rowOff>
    </xdr:from>
    <xdr:to>
      <xdr:col>9</xdr:col>
      <xdr:colOff>0</xdr:colOff>
      <xdr:row>336</xdr:row>
      <xdr:rowOff>0</xdr:rowOff>
    </xdr:to>
    <xdr:sp macro="" textlink="">
      <xdr:nvSpPr>
        <xdr:cNvPr id="11899" name="Line 15">
          <a:extLst>
            <a:ext uri="{FF2B5EF4-FFF2-40B4-BE49-F238E27FC236}">
              <a16:creationId xmlns:a16="http://schemas.microsoft.com/office/drawing/2014/main" id="{1E94D712-321A-02BD-57AC-250081C6E7EF}"/>
            </a:ext>
          </a:extLst>
        </xdr:cNvPr>
        <xdr:cNvSpPr>
          <a:spLocks noChangeShapeType="1"/>
        </xdr:cNvSpPr>
      </xdr:nvSpPr>
      <xdr:spPr bwMode="auto">
        <a:xfrm>
          <a:off x="4610100" y="57978675"/>
          <a:ext cx="0" cy="3429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364</xdr:row>
      <xdr:rowOff>0</xdr:rowOff>
    </xdr:from>
    <xdr:to>
      <xdr:col>4</xdr:col>
      <xdr:colOff>0</xdr:colOff>
      <xdr:row>368</xdr:row>
      <xdr:rowOff>0</xdr:rowOff>
    </xdr:to>
    <xdr:sp macro="" textlink="">
      <xdr:nvSpPr>
        <xdr:cNvPr id="11900" name="Line 16">
          <a:extLst>
            <a:ext uri="{FF2B5EF4-FFF2-40B4-BE49-F238E27FC236}">
              <a16:creationId xmlns:a16="http://schemas.microsoft.com/office/drawing/2014/main" id="{008FF663-DCB9-1A6A-6C1F-F5FBBCDC728F}"/>
            </a:ext>
          </a:extLst>
        </xdr:cNvPr>
        <xdr:cNvSpPr>
          <a:spLocks noChangeShapeType="1"/>
        </xdr:cNvSpPr>
      </xdr:nvSpPr>
      <xdr:spPr bwMode="auto">
        <a:xfrm>
          <a:off x="1733550" y="63265050"/>
          <a:ext cx="0" cy="6858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9</xdr:col>
      <xdr:colOff>0</xdr:colOff>
      <xdr:row>363</xdr:row>
      <xdr:rowOff>180975</xdr:rowOff>
    </xdr:from>
    <xdr:to>
      <xdr:col>9</xdr:col>
      <xdr:colOff>0</xdr:colOff>
      <xdr:row>365</xdr:row>
      <xdr:rowOff>171450</xdr:rowOff>
    </xdr:to>
    <xdr:sp macro="" textlink="">
      <xdr:nvSpPr>
        <xdr:cNvPr id="11901" name="Line 17">
          <a:extLst>
            <a:ext uri="{FF2B5EF4-FFF2-40B4-BE49-F238E27FC236}">
              <a16:creationId xmlns:a16="http://schemas.microsoft.com/office/drawing/2014/main" id="{25A1CB63-93E2-8713-1B1C-1CB8E4F55C77}"/>
            </a:ext>
          </a:extLst>
        </xdr:cNvPr>
        <xdr:cNvSpPr>
          <a:spLocks noChangeShapeType="1"/>
        </xdr:cNvSpPr>
      </xdr:nvSpPr>
      <xdr:spPr bwMode="auto">
        <a:xfrm flipH="1">
          <a:off x="4610100" y="63246000"/>
          <a:ext cx="0" cy="3619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373</xdr:row>
      <xdr:rowOff>95250</xdr:rowOff>
    </xdr:from>
    <xdr:to>
      <xdr:col>2</xdr:col>
      <xdr:colOff>0</xdr:colOff>
      <xdr:row>373</xdr:row>
      <xdr:rowOff>95250</xdr:rowOff>
    </xdr:to>
    <xdr:sp macro="" textlink="">
      <xdr:nvSpPr>
        <xdr:cNvPr id="11902" name="Line 18">
          <a:extLst>
            <a:ext uri="{FF2B5EF4-FFF2-40B4-BE49-F238E27FC236}">
              <a16:creationId xmlns:a16="http://schemas.microsoft.com/office/drawing/2014/main" id="{9823E25D-A143-BBA4-6704-234F54567881}"/>
            </a:ext>
          </a:extLst>
        </xdr:cNvPr>
        <xdr:cNvSpPr>
          <a:spLocks noChangeShapeType="1"/>
        </xdr:cNvSpPr>
      </xdr:nvSpPr>
      <xdr:spPr bwMode="auto">
        <a:xfrm flipH="1">
          <a:off x="152400" y="64989075"/>
          <a:ext cx="5619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xdr:col>
      <xdr:colOff>0</xdr:colOff>
      <xdr:row>354</xdr:row>
      <xdr:rowOff>9525</xdr:rowOff>
    </xdr:from>
    <xdr:to>
      <xdr:col>1</xdr:col>
      <xdr:colOff>0</xdr:colOff>
      <xdr:row>373</xdr:row>
      <xdr:rowOff>95250</xdr:rowOff>
    </xdr:to>
    <xdr:sp macro="" textlink="">
      <xdr:nvSpPr>
        <xdr:cNvPr id="11903" name="Line 19">
          <a:extLst>
            <a:ext uri="{FF2B5EF4-FFF2-40B4-BE49-F238E27FC236}">
              <a16:creationId xmlns:a16="http://schemas.microsoft.com/office/drawing/2014/main" id="{DAC71606-E3E1-BD86-46C2-612E9C6826E4}"/>
            </a:ext>
          </a:extLst>
        </xdr:cNvPr>
        <xdr:cNvSpPr>
          <a:spLocks noChangeShapeType="1"/>
        </xdr:cNvSpPr>
      </xdr:nvSpPr>
      <xdr:spPr bwMode="auto">
        <a:xfrm>
          <a:off x="152400" y="61474350"/>
          <a:ext cx="0" cy="351472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350</xdr:row>
      <xdr:rowOff>0</xdr:rowOff>
    </xdr:from>
    <xdr:to>
      <xdr:col>4</xdr:col>
      <xdr:colOff>0</xdr:colOff>
      <xdr:row>350</xdr:row>
      <xdr:rowOff>0</xdr:rowOff>
    </xdr:to>
    <xdr:sp macro="" textlink="">
      <xdr:nvSpPr>
        <xdr:cNvPr id="11904" name="Line 20">
          <a:extLst>
            <a:ext uri="{FF2B5EF4-FFF2-40B4-BE49-F238E27FC236}">
              <a16:creationId xmlns:a16="http://schemas.microsoft.com/office/drawing/2014/main" id="{1F1BFD30-F2B5-2268-4B17-CBF00D39F99E}"/>
            </a:ext>
          </a:extLst>
        </xdr:cNvPr>
        <xdr:cNvSpPr>
          <a:spLocks noChangeShapeType="1"/>
        </xdr:cNvSpPr>
      </xdr:nvSpPr>
      <xdr:spPr bwMode="auto">
        <a:xfrm flipH="1">
          <a:off x="152400" y="60779025"/>
          <a:ext cx="15811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4</xdr:col>
      <xdr:colOff>0</xdr:colOff>
      <xdr:row>366</xdr:row>
      <xdr:rowOff>0</xdr:rowOff>
    </xdr:from>
    <xdr:to>
      <xdr:col>9</xdr:col>
      <xdr:colOff>0</xdr:colOff>
      <xdr:row>366</xdr:row>
      <xdr:rowOff>0</xdr:rowOff>
    </xdr:to>
    <xdr:sp macro="" textlink="">
      <xdr:nvSpPr>
        <xdr:cNvPr id="11905" name="Line 21">
          <a:extLst>
            <a:ext uri="{FF2B5EF4-FFF2-40B4-BE49-F238E27FC236}">
              <a16:creationId xmlns:a16="http://schemas.microsoft.com/office/drawing/2014/main" id="{1C9316E6-1341-B430-B555-2F6DFAF271D0}"/>
            </a:ext>
          </a:extLst>
        </xdr:cNvPr>
        <xdr:cNvSpPr>
          <a:spLocks noChangeShapeType="1"/>
        </xdr:cNvSpPr>
      </xdr:nvSpPr>
      <xdr:spPr bwMode="auto">
        <a:xfrm flipH="1">
          <a:off x="1733550" y="63607950"/>
          <a:ext cx="28765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xdr:col>
      <xdr:colOff>0</xdr:colOff>
      <xdr:row>358</xdr:row>
      <xdr:rowOff>95250</xdr:rowOff>
    </xdr:from>
    <xdr:to>
      <xdr:col>4</xdr:col>
      <xdr:colOff>0</xdr:colOff>
      <xdr:row>358</xdr:row>
      <xdr:rowOff>95250</xdr:rowOff>
    </xdr:to>
    <xdr:sp macro="" textlink="">
      <xdr:nvSpPr>
        <xdr:cNvPr id="11906" name="Line 22">
          <a:extLst>
            <a:ext uri="{FF2B5EF4-FFF2-40B4-BE49-F238E27FC236}">
              <a16:creationId xmlns:a16="http://schemas.microsoft.com/office/drawing/2014/main" id="{7704931D-D7DF-D27A-FC90-6B60C529FEFF}"/>
            </a:ext>
          </a:extLst>
        </xdr:cNvPr>
        <xdr:cNvSpPr>
          <a:spLocks noChangeShapeType="1"/>
        </xdr:cNvSpPr>
      </xdr:nvSpPr>
      <xdr:spPr bwMode="auto">
        <a:xfrm flipH="1">
          <a:off x="152400" y="62303025"/>
          <a:ext cx="15811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xdr:col>
      <xdr:colOff>180975</xdr:colOff>
      <xdr:row>351</xdr:row>
      <xdr:rowOff>0</xdr:rowOff>
    </xdr:from>
    <xdr:to>
      <xdr:col>6</xdr:col>
      <xdr:colOff>200025</xdr:colOff>
      <xdr:row>357</xdr:row>
      <xdr:rowOff>0</xdr:rowOff>
    </xdr:to>
    <xdr:sp macro="" textlink="">
      <xdr:nvSpPr>
        <xdr:cNvPr id="11907" name="Rectangle 23">
          <a:extLst>
            <a:ext uri="{FF2B5EF4-FFF2-40B4-BE49-F238E27FC236}">
              <a16:creationId xmlns:a16="http://schemas.microsoft.com/office/drawing/2014/main" id="{EF422265-854D-510B-552B-D13B374C20D5}"/>
            </a:ext>
          </a:extLst>
        </xdr:cNvPr>
        <xdr:cNvSpPr>
          <a:spLocks noChangeArrowheads="1"/>
        </xdr:cNvSpPr>
      </xdr:nvSpPr>
      <xdr:spPr bwMode="auto">
        <a:xfrm>
          <a:off x="333375" y="60950475"/>
          <a:ext cx="2714625" cy="1057275"/>
        </a:xfrm>
        <a:prstGeom prst="rect">
          <a:avLst/>
        </a:prstGeom>
        <a:noFill/>
        <a:ln w="9525">
          <a:solidFill>
            <a:srgbClr xmlns:mc="http://schemas.openxmlformats.org/markup-compatibility/2006" xmlns:a14="http://schemas.microsoft.com/office/drawing/2010/main" val="000000" mc:Ignorable="a14" a14:legacySpreadsheetColorIndex="8"/>
          </a:solidFill>
          <a:prstDash val="dash"/>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331470</xdr:colOff>
      <xdr:row>86</xdr:row>
      <xdr:rowOff>0</xdr:rowOff>
    </xdr:from>
    <xdr:to>
      <xdr:col>8</xdr:col>
      <xdr:colOff>212934</xdr:colOff>
      <xdr:row>86</xdr:row>
      <xdr:rowOff>0</xdr:rowOff>
    </xdr:to>
    <xdr:sp macro="" textlink="">
      <xdr:nvSpPr>
        <xdr:cNvPr id="6145" name="Text Box 1">
          <a:extLst>
            <a:ext uri="{FF2B5EF4-FFF2-40B4-BE49-F238E27FC236}">
              <a16:creationId xmlns:a16="http://schemas.microsoft.com/office/drawing/2014/main" id="{FA0CE16C-EF6E-878D-1F00-A61118F64DB7}"/>
            </a:ext>
          </a:extLst>
        </xdr:cNvPr>
        <xdr:cNvSpPr txBox="1">
          <a:spLocks noChangeArrowheads="1"/>
        </xdr:cNvSpPr>
      </xdr:nvSpPr>
      <xdr:spPr bwMode="auto">
        <a:xfrm>
          <a:off x="3362325" y="22031325"/>
          <a:ext cx="323850" cy="0"/>
        </a:xfrm>
        <a:prstGeom prst="rect">
          <a:avLst/>
        </a:prstGeom>
        <a:no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/2）</a:t>
          </a:r>
        </a:p>
      </xdr:txBody>
    </xdr:sp>
    <xdr:clientData/>
  </xdr:twoCellAnchor>
  <xdr:twoCellAnchor>
    <xdr:from>
      <xdr:col>7</xdr:col>
      <xdr:colOff>331470</xdr:colOff>
      <xdr:row>86</xdr:row>
      <xdr:rowOff>0</xdr:rowOff>
    </xdr:from>
    <xdr:to>
      <xdr:col>8</xdr:col>
      <xdr:colOff>284550</xdr:colOff>
      <xdr:row>86</xdr:row>
      <xdr:rowOff>0</xdr:rowOff>
    </xdr:to>
    <xdr:sp macro="" textlink="">
      <xdr:nvSpPr>
        <xdr:cNvPr id="6146" name="Text Box 2">
          <a:extLst>
            <a:ext uri="{FF2B5EF4-FFF2-40B4-BE49-F238E27FC236}">
              <a16:creationId xmlns:a16="http://schemas.microsoft.com/office/drawing/2014/main" id="{7882691D-BA72-5001-F7CF-8748370FAA80}"/>
            </a:ext>
          </a:extLst>
        </xdr:cNvPr>
        <xdr:cNvSpPr txBox="1">
          <a:spLocks noChangeArrowheads="1"/>
        </xdr:cNvSpPr>
      </xdr:nvSpPr>
      <xdr:spPr bwMode="auto">
        <a:xfrm>
          <a:off x="3362325" y="22031325"/>
          <a:ext cx="419100" cy="0"/>
        </a:xfrm>
        <a:prstGeom prst="rect">
          <a:avLst/>
        </a:prstGeom>
        <a:no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/2）</a:t>
          </a:r>
        </a:p>
      </xdr:txBody>
    </xdr:sp>
    <xdr:clientData/>
  </xdr:twoCellAnchor>
  <xdr:twoCellAnchor>
    <xdr:from>
      <xdr:col>4</xdr:col>
      <xdr:colOff>276225</xdr:colOff>
      <xdr:row>86</xdr:row>
      <xdr:rowOff>0</xdr:rowOff>
    </xdr:from>
    <xdr:to>
      <xdr:col>5</xdr:col>
      <xdr:colOff>39554</xdr:colOff>
      <xdr:row>86</xdr:row>
      <xdr:rowOff>0</xdr:rowOff>
    </xdr:to>
    <xdr:sp macro="" textlink="">
      <xdr:nvSpPr>
        <xdr:cNvPr id="6147" name="Text Box 3">
          <a:extLst>
            <a:ext uri="{FF2B5EF4-FFF2-40B4-BE49-F238E27FC236}">
              <a16:creationId xmlns:a16="http://schemas.microsoft.com/office/drawing/2014/main" id="{E3BB9393-D13E-E1C6-DB12-B3A035797C74}"/>
            </a:ext>
          </a:extLst>
        </xdr:cNvPr>
        <xdr:cNvSpPr txBox="1">
          <a:spLocks noChangeArrowheads="1"/>
        </xdr:cNvSpPr>
      </xdr:nvSpPr>
      <xdr:spPr bwMode="auto">
        <a:xfrm>
          <a:off x="1638300" y="22031325"/>
          <a:ext cx="219075" cy="0"/>
        </a:xfrm>
        <a:prstGeom prst="rect">
          <a:avLst/>
        </a:prstGeom>
        <a:no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a:t>
          </a:r>
        </a:p>
      </xdr:txBody>
    </xdr:sp>
    <xdr:clientData/>
  </xdr:twoCellAnchor>
  <xdr:twoCellAnchor>
    <xdr:from>
      <xdr:col>6</xdr:col>
      <xdr:colOff>302895</xdr:colOff>
      <xdr:row>86</xdr:row>
      <xdr:rowOff>0</xdr:rowOff>
    </xdr:from>
    <xdr:to>
      <xdr:col>7</xdr:col>
      <xdr:colOff>110611</xdr:colOff>
      <xdr:row>86</xdr:row>
      <xdr:rowOff>0</xdr:rowOff>
    </xdr:to>
    <xdr:sp macro="" textlink="">
      <xdr:nvSpPr>
        <xdr:cNvPr id="6149" name="Text Box 5">
          <a:extLst>
            <a:ext uri="{FF2B5EF4-FFF2-40B4-BE49-F238E27FC236}">
              <a16:creationId xmlns:a16="http://schemas.microsoft.com/office/drawing/2014/main" id="{D73B7C6C-5EDF-0B85-2C35-4B6B84D1348C}"/>
            </a:ext>
          </a:extLst>
        </xdr:cNvPr>
        <xdr:cNvSpPr txBox="1">
          <a:spLocks noChangeArrowheads="1"/>
        </xdr:cNvSpPr>
      </xdr:nvSpPr>
      <xdr:spPr bwMode="auto">
        <a:xfrm>
          <a:off x="2743200" y="22031325"/>
          <a:ext cx="361950" cy="0"/>
        </a:xfrm>
        <a:prstGeom prst="rect">
          <a:avLst/>
        </a:prstGeom>
        <a:no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a:t>
          </a:r>
        </a:p>
      </xdr:txBody>
    </xdr:sp>
    <xdr:clientData/>
  </xdr:twoCellAnchor>
  <xdr:twoCellAnchor>
    <xdr:from>
      <xdr:col>7</xdr:col>
      <xdr:colOff>371475</xdr:colOff>
      <xdr:row>86</xdr:row>
      <xdr:rowOff>0</xdr:rowOff>
    </xdr:from>
    <xdr:to>
      <xdr:col>8</xdr:col>
      <xdr:colOff>176686</xdr:colOff>
      <xdr:row>86</xdr:row>
      <xdr:rowOff>0</xdr:rowOff>
    </xdr:to>
    <xdr:sp macro="" textlink="">
      <xdr:nvSpPr>
        <xdr:cNvPr id="6150" name="Text Box 6">
          <a:extLst>
            <a:ext uri="{FF2B5EF4-FFF2-40B4-BE49-F238E27FC236}">
              <a16:creationId xmlns:a16="http://schemas.microsoft.com/office/drawing/2014/main" id="{678E5D62-29B6-64F3-A679-B1D6DDBE8A43}"/>
            </a:ext>
          </a:extLst>
        </xdr:cNvPr>
        <xdr:cNvSpPr txBox="1">
          <a:spLocks noChangeArrowheads="1"/>
        </xdr:cNvSpPr>
      </xdr:nvSpPr>
      <xdr:spPr bwMode="auto">
        <a:xfrm>
          <a:off x="3381375" y="22031325"/>
          <a:ext cx="257175" cy="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8</xdr:col>
      <xdr:colOff>331470</xdr:colOff>
      <xdr:row>86</xdr:row>
      <xdr:rowOff>0</xdr:rowOff>
    </xdr:from>
    <xdr:to>
      <xdr:col>9</xdr:col>
      <xdr:colOff>39732</xdr:colOff>
      <xdr:row>86</xdr:row>
      <xdr:rowOff>0</xdr:rowOff>
    </xdr:to>
    <xdr:sp macro="" textlink="">
      <xdr:nvSpPr>
        <xdr:cNvPr id="6151" name="Text Box 7">
          <a:extLst>
            <a:ext uri="{FF2B5EF4-FFF2-40B4-BE49-F238E27FC236}">
              <a16:creationId xmlns:a16="http://schemas.microsoft.com/office/drawing/2014/main" id="{AFC73595-A736-EEA1-E68C-59230BD06784}"/>
            </a:ext>
          </a:extLst>
        </xdr:cNvPr>
        <xdr:cNvSpPr txBox="1">
          <a:spLocks noChangeArrowheads="1"/>
        </xdr:cNvSpPr>
      </xdr:nvSpPr>
      <xdr:spPr bwMode="auto">
        <a:xfrm>
          <a:off x="3838575" y="22031325"/>
          <a:ext cx="133350" cy="0"/>
        </a:xfrm>
        <a:prstGeom prst="rect">
          <a:avLst/>
        </a:prstGeom>
        <a:no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a:t>
          </a:r>
        </a:p>
      </xdr:txBody>
    </xdr:sp>
    <xdr:clientData/>
  </xdr:twoCellAnchor>
  <xdr:twoCellAnchor>
    <xdr:from>
      <xdr:col>4</xdr:col>
      <xdr:colOff>1905</xdr:colOff>
      <xdr:row>86</xdr:row>
      <xdr:rowOff>0</xdr:rowOff>
    </xdr:from>
    <xdr:to>
      <xdr:col>6</xdr:col>
      <xdr:colOff>218691</xdr:colOff>
      <xdr:row>86</xdr:row>
      <xdr:rowOff>0</xdr:rowOff>
    </xdr:to>
    <xdr:sp macro="" textlink="">
      <xdr:nvSpPr>
        <xdr:cNvPr id="6155" name="Text Box 11">
          <a:extLst>
            <a:ext uri="{FF2B5EF4-FFF2-40B4-BE49-F238E27FC236}">
              <a16:creationId xmlns:a16="http://schemas.microsoft.com/office/drawing/2014/main" id="{097CAB34-D50C-A538-1C22-2D0472BD224F}"/>
            </a:ext>
          </a:extLst>
        </xdr:cNvPr>
        <xdr:cNvSpPr txBox="1">
          <a:spLocks noChangeArrowheads="1"/>
        </xdr:cNvSpPr>
      </xdr:nvSpPr>
      <xdr:spPr bwMode="auto">
        <a:xfrm>
          <a:off x="1323975" y="22031325"/>
          <a:ext cx="1333500" cy="0"/>
        </a:xfrm>
        <a:prstGeom prst="rect">
          <a:avLst/>
        </a:prstGeom>
        <a:no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2.75×（0.2＋2×</a:t>
          </a:r>
        </a:p>
      </xdr:txBody>
    </xdr:sp>
    <xdr:clientData/>
  </xdr:twoCellAnchor>
  <xdr:twoCellAnchor>
    <xdr:from>
      <xdr:col>8</xdr:col>
      <xdr:colOff>323850</xdr:colOff>
      <xdr:row>86</xdr:row>
      <xdr:rowOff>0</xdr:rowOff>
    </xdr:from>
    <xdr:to>
      <xdr:col>9</xdr:col>
      <xdr:colOff>57150</xdr:colOff>
      <xdr:row>86</xdr:row>
      <xdr:rowOff>0</xdr:rowOff>
    </xdr:to>
    <xdr:sp macro="" textlink="">
      <xdr:nvSpPr>
        <xdr:cNvPr id="12588" name="Text Box 12">
          <a:extLst>
            <a:ext uri="{FF2B5EF4-FFF2-40B4-BE49-F238E27FC236}">
              <a16:creationId xmlns:a16="http://schemas.microsoft.com/office/drawing/2014/main" id="{5EA41B5A-A9EF-9408-EBC8-C6C0602CCD12}"/>
            </a:ext>
          </a:extLst>
        </xdr:cNvPr>
        <xdr:cNvSpPr txBox="1">
          <a:spLocks noChangeArrowheads="1"/>
        </xdr:cNvSpPr>
      </xdr:nvSpPr>
      <xdr:spPr bwMode="auto">
        <a:xfrm>
          <a:off x="3371850" y="22031325"/>
          <a:ext cx="1428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314325</xdr:colOff>
      <xdr:row>86</xdr:row>
      <xdr:rowOff>0</xdr:rowOff>
    </xdr:from>
    <xdr:to>
      <xdr:col>8</xdr:col>
      <xdr:colOff>95250</xdr:colOff>
      <xdr:row>86</xdr:row>
      <xdr:rowOff>0</xdr:rowOff>
    </xdr:to>
    <xdr:sp macro="" textlink="">
      <xdr:nvSpPr>
        <xdr:cNvPr id="12589" name="Text Box 13">
          <a:extLst>
            <a:ext uri="{FF2B5EF4-FFF2-40B4-BE49-F238E27FC236}">
              <a16:creationId xmlns:a16="http://schemas.microsoft.com/office/drawing/2014/main" id="{435E59E6-3590-788D-A346-F50FF0BAD892}"/>
            </a:ext>
          </a:extLst>
        </xdr:cNvPr>
        <xdr:cNvSpPr txBox="1">
          <a:spLocks noChangeArrowheads="1"/>
        </xdr:cNvSpPr>
      </xdr:nvSpPr>
      <xdr:spPr bwMode="auto">
        <a:xfrm>
          <a:off x="2914650" y="220313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438150</xdr:colOff>
      <xdr:row>89</xdr:row>
      <xdr:rowOff>19050</xdr:rowOff>
    </xdr:from>
    <xdr:to>
      <xdr:col>7</xdr:col>
      <xdr:colOff>38100</xdr:colOff>
      <xdr:row>90</xdr:row>
      <xdr:rowOff>228600</xdr:rowOff>
    </xdr:to>
    <xdr:sp macro="" textlink="">
      <xdr:nvSpPr>
        <xdr:cNvPr id="12590" name="AutoShape 15">
          <a:extLst>
            <a:ext uri="{FF2B5EF4-FFF2-40B4-BE49-F238E27FC236}">
              <a16:creationId xmlns:a16="http://schemas.microsoft.com/office/drawing/2014/main" id="{7F2F495D-039E-D344-9B65-882FF54F94A2}"/>
            </a:ext>
          </a:extLst>
        </xdr:cNvPr>
        <xdr:cNvSpPr>
          <a:spLocks/>
        </xdr:cNvSpPr>
      </xdr:nvSpPr>
      <xdr:spPr bwMode="auto">
        <a:xfrm>
          <a:off x="2552700" y="23002875"/>
          <a:ext cx="85725" cy="457200"/>
        </a:xfrm>
        <a:prstGeom prst="leftBracket">
          <a:avLst>
            <a:gd name="adj" fmla="val 444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352425</xdr:colOff>
      <xdr:row>89</xdr:row>
      <xdr:rowOff>19050</xdr:rowOff>
    </xdr:from>
    <xdr:to>
      <xdr:col>8</xdr:col>
      <xdr:colOff>47625</xdr:colOff>
      <xdr:row>90</xdr:row>
      <xdr:rowOff>228600</xdr:rowOff>
    </xdr:to>
    <xdr:sp macro="" textlink="">
      <xdr:nvSpPr>
        <xdr:cNvPr id="12591" name="AutoShape 16">
          <a:extLst>
            <a:ext uri="{FF2B5EF4-FFF2-40B4-BE49-F238E27FC236}">
              <a16:creationId xmlns:a16="http://schemas.microsoft.com/office/drawing/2014/main" id="{FD14F419-B24B-0450-A11D-455D24A8DF57}"/>
            </a:ext>
          </a:extLst>
        </xdr:cNvPr>
        <xdr:cNvSpPr>
          <a:spLocks/>
        </xdr:cNvSpPr>
      </xdr:nvSpPr>
      <xdr:spPr bwMode="auto">
        <a:xfrm>
          <a:off x="2952750" y="23002875"/>
          <a:ext cx="142875" cy="457200"/>
        </a:xfrm>
        <a:prstGeom prst="rightBracket">
          <a:avLst>
            <a:gd name="adj" fmla="val 2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87630</xdr:colOff>
      <xdr:row>88</xdr:row>
      <xdr:rowOff>438150</xdr:rowOff>
    </xdr:from>
    <xdr:to>
      <xdr:col>8</xdr:col>
      <xdr:colOff>261278</xdr:colOff>
      <xdr:row>89</xdr:row>
      <xdr:rowOff>200707</xdr:rowOff>
    </xdr:to>
    <xdr:sp macro="" textlink="">
      <xdr:nvSpPr>
        <xdr:cNvPr id="6161" name="Text Box 17">
          <a:extLst>
            <a:ext uri="{FF2B5EF4-FFF2-40B4-BE49-F238E27FC236}">
              <a16:creationId xmlns:a16="http://schemas.microsoft.com/office/drawing/2014/main" id="{D4F53D0E-4CC9-2945-9BE9-7C25EF7B5DB3}"/>
            </a:ext>
          </a:extLst>
        </xdr:cNvPr>
        <xdr:cNvSpPr txBox="1">
          <a:spLocks noChangeArrowheads="1"/>
        </xdr:cNvSpPr>
      </xdr:nvSpPr>
      <xdr:spPr bwMode="auto">
        <a:xfrm>
          <a:off x="3562350" y="22983825"/>
          <a:ext cx="209550" cy="209550"/>
        </a:xfrm>
        <a:prstGeom prst="rect">
          <a:avLst/>
        </a:prstGeom>
        <a:noFill/>
        <a:ln>
          <a:noFill/>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2</a:t>
          </a:r>
        </a:p>
      </xdr:txBody>
    </xdr:sp>
    <xdr:clientData/>
  </xdr:twoCellAnchor>
  <xdr:twoCellAnchor>
    <xdr:from>
      <xdr:col>4</xdr:col>
      <xdr:colOff>348615</xdr:colOff>
      <xdr:row>111</xdr:row>
      <xdr:rowOff>36195</xdr:rowOff>
    </xdr:from>
    <xdr:to>
      <xdr:col>5</xdr:col>
      <xdr:colOff>132983</xdr:colOff>
      <xdr:row>112</xdr:row>
      <xdr:rowOff>42</xdr:rowOff>
    </xdr:to>
    <xdr:sp macro="" textlink="">
      <xdr:nvSpPr>
        <xdr:cNvPr id="6162" name="Text Box 18">
          <a:extLst>
            <a:ext uri="{FF2B5EF4-FFF2-40B4-BE49-F238E27FC236}">
              <a16:creationId xmlns:a16="http://schemas.microsoft.com/office/drawing/2014/main" id="{8F05BE33-FB05-5C2A-C12A-23E02C41EE03}"/>
            </a:ext>
          </a:extLst>
        </xdr:cNvPr>
        <xdr:cNvSpPr txBox="1">
          <a:spLocks noChangeArrowheads="1"/>
        </xdr:cNvSpPr>
      </xdr:nvSpPr>
      <xdr:spPr bwMode="auto">
        <a:xfrm>
          <a:off x="1724025" y="28927425"/>
          <a:ext cx="228600" cy="209550"/>
        </a:xfrm>
        <a:prstGeom prst="rect">
          <a:avLst/>
        </a:prstGeom>
        <a:no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a:t>
          </a:r>
        </a:p>
      </xdr:txBody>
    </xdr:sp>
    <xdr:clientData/>
  </xdr:twoCellAnchor>
  <xdr:twoCellAnchor>
    <xdr:from>
      <xdr:col>4</xdr:col>
      <xdr:colOff>245745</xdr:colOff>
      <xdr:row>86</xdr:row>
      <xdr:rowOff>0</xdr:rowOff>
    </xdr:from>
    <xdr:to>
      <xdr:col>4</xdr:col>
      <xdr:colOff>429420</xdr:colOff>
      <xdr:row>86</xdr:row>
      <xdr:rowOff>0</xdr:rowOff>
    </xdr:to>
    <xdr:sp macro="" textlink="">
      <xdr:nvSpPr>
        <xdr:cNvPr id="6163" name="Text Box 19">
          <a:extLst>
            <a:ext uri="{FF2B5EF4-FFF2-40B4-BE49-F238E27FC236}">
              <a16:creationId xmlns:a16="http://schemas.microsoft.com/office/drawing/2014/main" id="{A8205BC1-944C-765F-9C13-3A79F9E899C4}"/>
            </a:ext>
          </a:extLst>
        </xdr:cNvPr>
        <xdr:cNvSpPr txBox="1">
          <a:spLocks noChangeArrowheads="1"/>
        </xdr:cNvSpPr>
      </xdr:nvSpPr>
      <xdr:spPr bwMode="auto">
        <a:xfrm>
          <a:off x="1590675" y="22031325"/>
          <a:ext cx="219075" cy="0"/>
        </a:xfrm>
        <a:prstGeom prst="rect">
          <a:avLst/>
        </a:prstGeom>
        <a:no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a:t>
          </a:r>
        </a:p>
      </xdr:txBody>
    </xdr:sp>
    <xdr:clientData/>
  </xdr:twoCellAnchor>
  <xdr:twoCellAnchor>
    <xdr:from>
      <xdr:col>5</xdr:col>
      <xdr:colOff>333375</xdr:colOff>
      <xdr:row>99</xdr:row>
      <xdr:rowOff>43815</xdr:rowOff>
    </xdr:from>
    <xdr:to>
      <xdr:col>6</xdr:col>
      <xdr:colOff>78034</xdr:colOff>
      <xdr:row>100</xdr:row>
      <xdr:rowOff>15338</xdr:rowOff>
    </xdr:to>
    <xdr:sp macro="" textlink="">
      <xdr:nvSpPr>
        <xdr:cNvPr id="6164" name="Text Box 20">
          <a:extLst>
            <a:ext uri="{FF2B5EF4-FFF2-40B4-BE49-F238E27FC236}">
              <a16:creationId xmlns:a16="http://schemas.microsoft.com/office/drawing/2014/main" id="{E20D1460-4A90-AB5A-2515-7F9F26D4C776}"/>
            </a:ext>
          </a:extLst>
        </xdr:cNvPr>
        <xdr:cNvSpPr txBox="1">
          <a:spLocks noChangeArrowheads="1"/>
        </xdr:cNvSpPr>
      </xdr:nvSpPr>
      <xdr:spPr bwMode="auto">
        <a:xfrm>
          <a:off x="2200275" y="25565100"/>
          <a:ext cx="285750" cy="209550"/>
        </a:xfrm>
        <a:prstGeom prst="rect">
          <a:avLst/>
        </a:prstGeom>
        <a:no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a:t>
          </a:r>
        </a:p>
      </xdr:txBody>
    </xdr:sp>
    <xdr:clientData/>
  </xdr:twoCellAnchor>
  <xdr:twoCellAnchor>
    <xdr:from>
      <xdr:col>10</xdr:col>
      <xdr:colOff>38100</xdr:colOff>
      <xdr:row>104</xdr:row>
      <xdr:rowOff>26670</xdr:rowOff>
    </xdr:from>
    <xdr:to>
      <xdr:col>10</xdr:col>
      <xdr:colOff>272482</xdr:colOff>
      <xdr:row>104</xdr:row>
      <xdr:rowOff>240447</xdr:rowOff>
    </xdr:to>
    <xdr:sp macro="" textlink="">
      <xdr:nvSpPr>
        <xdr:cNvPr id="6165" name="Text Box 21">
          <a:extLst>
            <a:ext uri="{FF2B5EF4-FFF2-40B4-BE49-F238E27FC236}">
              <a16:creationId xmlns:a16="http://schemas.microsoft.com/office/drawing/2014/main" id="{601CD276-3359-7776-361D-3D521D4E6647}"/>
            </a:ext>
          </a:extLst>
        </xdr:cNvPr>
        <xdr:cNvSpPr txBox="1">
          <a:spLocks noChangeArrowheads="1"/>
        </xdr:cNvSpPr>
      </xdr:nvSpPr>
      <xdr:spPr bwMode="auto">
        <a:xfrm>
          <a:off x="4429125" y="26965275"/>
          <a:ext cx="285750" cy="219075"/>
        </a:xfrm>
        <a:prstGeom prst="rect">
          <a:avLst/>
        </a:prstGeom>
        <a:no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a:t>
          </a:r>
        </a:p>
      </xdr:txBody>
    </xdr:sp>
    <xdr:clientData/>
  </xdr:twoCellAnchor>
  <xdr:twoCellAnchor>
    <xdr:from>
      <xdr:col>7</xdr:col>
      <xdr:colOff>428625</xdr:colOff>
      <xdr:row>108</xdr:row>
      <xdr:rowOff>9525</xdr:rowOff>
    </xdr:from>
    <xdr:to>
      <xdr:col>10</xdr:col>
      <xdr:colOff>57150</xdr:colOff>
      <xdr:row>109</xdr:row>
      <xdr:rowOff>9525</xdr:rowOff>
    </xdr:to>
    <xdr:pic>
      <xdr:nvPicPr>
        <xdr:cNvPr id="12597" name="Picture 22">
          <a:extLst>
            <a:ext uri="{FF2B5EF4-FFF2-40B4-BE49-F238E27FC236}">
              <a16:creationId xmlns:a16="http://schemas.microsoft.com/office/drawing/2014/main" id="{AF2E0340-8AD3-4A11-9355-F65AC7DAB3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27946350"/>
          <a:ext cx="895350" cy="4572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8</xdr:col>
      <xdr:colOff>316230</xdr:colOff>
      <xdr:row>125</xdr:row>
      <xdr:rowOff>26670</xdr:rowOff>
    </xdr:from>
    <xdr:to>
      <xdr:col>9</xdr:col>
      <xdr:colOff>215441</xdr:colOff>
      <xdr:row>126</xdr:row>
      <xdr:rowOff>11742</xdr:rowOff>
    </xdr:to>
    <xdr:sp macro="" textlink="">
      <xdr:nvSpPr>
        <xdr:cNvPr id="6167" name="Text Box 23">
          <a:extLst>
            <a:ext uri="{FF2B5EF4-FFF2-40B4-BE49-F238E27FC236}">
              <a16:creationId xmlns:a16="http://schemas.microsoft.com/office/drawing/2014/main" id="{5D1464FE-7DB2-DEF0-7A13-3706EAC9036D}"/>
            </a:ext>
          </a:extLst>
        </xdr:cNvPr>
        <xdr:cNvSpPr txBox="1">
          <a:spLocks noChangeArrowheads="1"/>
        </xdr:cNvSpPr>
      </xdr:nvSpPr>
      <xdr:spPr bwMode="auto">
        <a:xfrm>
          <a:off x="3829050" y="32375475"/>
          <a:ext cx="352425" cy="257175"/>
        </a:xfrm>
        <a:prstGeom prst="rect">
          <a:avLst/>
        </a:prstGeom>
        <a:no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（ｍ）</a:t>
          </a:r>
        </a:p>
      </xdr:txBody>
    </xdr:sp>
    <xdr:clientData/>
  </xdr:twoCellAnchor>
  <xdr:twoCellAnchor>
    <xdr:from>
      <xdr:col>8</xdr:col>
      <xdr:colOff>293370</xdr:colOff>
      <xdr:row>126</xdr:row>
      <xdr:rowOff>15240</xdr:rowOff>
    </xdr:from>
    <xdr:to>
      <xdr:col>9</xdr:col>
      <xdr:colOff>230842</xdr:colOff>
      <xdr:row>126</xdr:row>
      <xdr:rowOff>228930</xdr:rowOff>
    </xdr:to>
    <xdr:sp macro="" textlink="">
      <xdr:nvSpPr>
        <xdr:cNvPr id="6168" name="Text Box 24">
          <a:extLst>
            <a:ext uri="{FF2B5EF4-FFF2-40B4-BE49-F238E27FC236}">
              <a16:creationId xmlns:a16="http://schemas.microsoft.com/office/drawing/2014/main" id="{3C956C68-4EDF-5FC9-CE7B-03699785DE23}"/>
            </a:ext>
          </a:extLst>
        </xdr:cNvPr>
        <xdr:cNvSpPr txBox="1">
          <a:spLocks noChangeArrowheads="1"/>
        </xdr:cNvSpPr>
      </xdr:nvSpPr>
      <xdr:spPr bwMode="auto">
        <a:xfrm>
          <a:off x="3800475" y="32613600"/>
          <a:ext cx="400050" cy="209550"/>
        </a:xfrm>
        <a:prstGeom prst="rect">
          <a:avLst/>
        </a:prstGeom>
        <a:noFill/>
        <a:ln>
          <a:noFill/>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（kN）</a:t>
          </a:r>
        </a:p>
      </xdr:txBody>
    </xdr:sp>
    <xdr:clientData/>
  </xdr:twoCellAnchor>
  <mc:AlternateContent xmlns:mc="http://schemas.openxmlformats.org/markup-compatibility/2006">
    <mc:Choice xmlns:a14="http://schemas.microsoft.com/office/drawing/2010/main" Requires="a14">
      <xdr:twoCellAnchor editAs="oneCell">
        <xdr:from>
          <xdr:col>3</xdr:col>
          <xdr:colOff>409575</xdr:colOff>
          <xdr:row>45</xdr:row>
          <xdr:rowOff>323850</xdr:rowOff>
        </xdr:from>
        <xdr:to>
          <xdr:col>7</xdr:col>
          <xdr:colOff>276225</xdr:colOff>
          <xdr:row>47</xdr:row>
          <xdr:rowOff>76200</xdr:rowOff>
        </xdr:to>
        <xdr:sp macro="" textlink="">
          <xdr:nvSpPr>
            <xdr:cNvPr id="6169" name="Object 25" hidden="1">
              <a:extLst>
                <a:ext uri="{63B3BB69-23CF-44E3-9099-C40C66FF867C}">
                  <a14:compatExt spid="_x0000_s6169"/>
                </a:ext>
                <a:ext uri="{FF2B5EF4-FFF2-40B4-BE49-F238E27FC236}">
                  <a16:creationId xmlns:a16="http://schemas.microsoft.com/office/drawing/2014/main" id="{00000000-0008-0000-06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87</xdr:row>
          <xdr:rowOff>152400</xdr:rowOff>
        </xdr:from>
        <xdr:to>
          <xdr:col>7</xdr:col>
          <xdr:colOff>295275</xdr:colOff>
          <xdr:row>89</xdr:row>
          <xdr:rowOff>57150</xdr:rowOff>
        </xdr:to>
        <xdr:sp macro="" textlink="">
          <xdr:nvSpPr>
            <xdr:cNvPr id="6177" name="Object 33" hidden="1">
              <a:extLst>
                <a:ext uri="{63B3BB69-23CF-44E3-9099-C40C66FF867C}">
                  <a14:compatExt spid="_x0000_s6177"/>
                </a:ext>
                <a:ext uri="{FF2B5EF4-FFF2-40B4-BE49-F238E27FC236}">
                  <a16:creationId xmlns:a16="http://schemas.microsoft.com/office/drawing/2014/main" id="{00000000-0008-0000-06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99</xdr:row>
          <xdr:rowOff>19050</xdr:rowOff>
        </xdr:from>
        <xdr:to>
          <xdr:col>10</xdr:col>
          <xdr:colOff>333375</xdr:colOff>
          <xdr:row>99</xdr:row>
          <xdr:rowOff>228600</xdr:rowOff>
        </xdr:to>
        <xdr:sp macro="" textlink="">
          <xdr:nvSpPr>
            <xdr:cNvPr id="6178" name="Object 34" hidden="1">
              <a:extLst>
                <a:ext uri="{63B3BB69-23CF-44E3-9099-C40C66FF867C}">
                  <a14:compatExt spid="_x0000_s6178"/>
                </a:ext>
                <a:ext uri="{FF2B5EF4-FFF2-40B4-BE49-F238E27FC236}">
                  <a16:creationId xmlns:a16="http://schemas.microsoft.com/office/drawing/2014/main" id="{00000000-0008-0000-06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103</xdr:row>
          <xdr:rowOff>9525</xdr:rowOff>
        </xdr:from>
        <xdr:to>
          <xdr:col>5</xdr:col>
          <xdr:colOff>123825</xdr:colOff>
          <xdr:row>104</xdr:row>
          <xdr:rowOff>19050</xdr:rowOff>
        </xdr:to>
        <xdr:sp macro="" textlink="">
          <xdr:nvSpPr>
            <xdr:cNvPr id="6179" name="Object 35" hidden="1">
              <a:extLst>
                <a:ext uri="{63B3BB69-23CF-44E3-9099-C40C66FF867C}">
                  <a14:compatExt spid="_x0000_s6179"/>
                </a:ext>
                <a:ext uri="{FF2B5EF4-FFF2-40B4-BE49-F238E27FC236}">
                  <a16:creationId xmlns:a16="http://schemas.microsoft.com/office/drawing/2014/main" id="{00000000-0008-0000-06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103</xdr:row>
          <xdr:rowOff>9525</xdr:rowOff>
        </xdr:from>
        <xdr:to>
          <xdr:col>10</xdr:col>
          <xdr:colOff>142875</xdr:colOff>
          <xdr:row>104</xdr:row>
          <xdr:rowOff>19050</xdr:rowOff>
        </xdr:to>
        <xdr:sp macro="" textlink="">
          <xdr:nvSpPr>
            <xdr:cNvPr id="6180" name="Object 36" hidden="1">
              <a:extLst>
                <a:ext uri="{63B3BB69-23CF-44E3-9099-C40C66FF867C}">
                  <a14:compatExt spid="_x0000_s6180"/>
                </a:ext>
                <a:ext uri="{FF2B5EF4-FFF2-40B4-BE49-F238E27FC236}">
                  <a16:creationId xmlns:a16="http://schemas.microsoft.com/office/drawing/2014/main" id="{00000000-0008-0000-06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219075</xdr:colOff>
          <xdr:row>108</xdr:row>
          <xdr:rowOff>428625</xdr:rowOff>
        </xdr:to>
        <xdr:sp macro="" textlink="">
          <xdr:nvSpPr>
            <xdr:cNvPr id="6181" name="Object 37" hidden="1">
              <a:extLst>
                <a:ext uri="{63B3BB69-23CF-44E3-9099-C40C66FF867C}">
                  <a14:compatExt spid="_x0000_s6181"/>
                </a:ext>
                <a:ext uri="{FF2B5EF4-FFF2-40B4-BE49-F238E27FC236}">
                  <a16:creationId xmlns:a16="http://schemas.microsoft.com/office/drawing/2014/main" id="{00000000-0008-0000-06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323850</xdr:colOff>
      <xdr:row>86</xdr:row>
      <xdr:rowOff>0</xdr:rowOff>
    </xdr:from>
    <xdr:to>
      <xdr:col>9</xdr:col>
      <xdr:colOff>57150</xdr:colOff>
      <xdr:row>86</xdr:row>
      <xdr:rowOff>0</xdr:rowOff>
    </xdr:to>
    <xdr:sp macro="" textlink="">
      <xdr:nvSpPr>
        <xdr:cNvPr id="12600" name="Text Box 38">
          <a:extLst>
            <a:ext uri="{FF2B5EF4-FFF2-40B4-BE49-F238E27FC236}">
              <a16:creationId xmlns:a16="http://schemas.microsoft.com/office/drawing/2014/main" id="{91410FAE-D143-43B7-50E5-870689D0BB9C}"/>
            </a:ext>
          </a:extLst>
        </xdr:cNvPr>
        <xdr:cNvSpPr txBox="1">
          <a:spLocks noChangeArrowheads="1"/>
        </xdr:cNvSpPr>
      </xdr:nvSpPr>
      <xdr:spPr bwMode="auto">
        <a:xfrm>
          <a:off x="3371850" y="22031325"/>
          <a:ext cx="1428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oleObject" Target="../embeddings/oleObject6.bin"/><Relationship Id="rId3" Type="http://schemas.openxmlformats.org/officeDocument/2006/relationships/vmlDrawing" Target="../drawings/vmlDrawing2.vml"/><Relationship Id="rId7" Type="http://schemas.openxmlformats.org/officeDocument/2006/relationships/image" Target="../media/image2.emf"/><Relationship Id="rId12" Type="http://schemas.openxmlformats.org/officeDocument/2006/relationships/oleObject" Target="../embeddings/oleObject5.bin"/><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 Id="rId14" Type="http://schemas.openxmlformats.org/officeDocument/2006/relationships/image" Target="../media/image5.emf"/></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A3FC6-D483-40A3-B1E0-927EE3115D87}">
  <sheetPr codeName="Sheet7">
    <tabColor rgb="FFFFFF00"/>
  </sheetPr>
  <dimension ref="A1:Q57"/>
  <sheetViews>
    <sheetView zoomScale="75" workbookViewId="0">
      <selection activeCell="T36" sqref="T36"/>
    </sheetView>
  </sheetViews>
  <sheetFormatPr defaultRowHeight="13.5" x14ac:dyDescent="0.15"/>
  <sheetData>
    <row r="1" spans="1:17" ht="14.25" thickBot="1" x14ac:dyDescent="0.2">
      <c r="A1" t="s">
        <v>0</v>
      </c>
    </row>
    <row r="2" spans="1:17" ht="27.75" thickBot="1" x14ac:dyDescent="0.2">
      <c r="A2" s="16" t="s">
        <v>1</v>
      </c>
      <c r="B2" s="17" t="s">
        <v>2</v>
      </c>
      <c r="C2" s="17" t="s">
        <v>3</v>
      </c>
      <c r="D2" s="17" t="s">
        <v>4</v>
      </c>
      <c r="E2" s="17" t="s">
        <v>5</v>
      </c>
      <c r="F2" s="17" t="s">
        <v>6</v>
      </c>
      <c r="G2" s="17" t="s">
        <v>7</v>
      </c>
      <c r="H2" s="17" t="s">
        <v>8</v>
      </c>
      <c r="I2" s="17" t="s">
        <v>9</v>
      </c>
      <c r="J2" s="17" t="s">
        <v>10</v>
      </c>
      <c r="K2" s="17" t="s">
        <v>11</v>
      </c>
      <c r="L2" s="17" t="s">
        <v>12</v>
      </c>
      <c r="M2" s="17" t="s">
        <v>13</v>
      </c>
      <c r="N2" s="17" t="s">
        <v>14</v>
      </c>
      <c r="O2" s="17" t="s">
        <v>15</v>
      </c>
      <c r="P2" s="17" t="s">
        <v>16</v>
      </c>
      <c r="Q2" s="18" t="s">
        <v>17</v>
      </c>
    </row>
    <row r="3" spans="1:17" ht="14.25" thickBot="1" x14ac:dyDescent="0.2">
      <c r="A3" s="369" t="s">
        <v>18</v>
      </c>
      <c r="B3" s="370">
        <v>1</v>
      </c>
      <c r="C3" s="371" t="s">
        <v>18</v>
      </c>
      <c r="D3" s="433">
        <v>25300</v>
      </c>
      <c r="E3" s="434">
        <v>20900</v>
      </c>
      <c r="F3" s="434">
        <v>28600</v>
      </c>
      <c r="G3" s="434">
        <v>27600</v>
      </c>
      <c r="H3" s="434">
        <v>29600</v>
      </c>
      <c r="I3" s="434">
        <v>31100</v>
      </c>
      <c r="J3" s="434">
        <v>25900</v>
      </c>
      <c r="K3" s="434">
        <v>21500</v>
      </c>
      <c r="L3" s="434">
        <v>45700</v>
      </c>
      <c r="M3" s="434">
        <v>33700</v>
      </c>
      <c r="N3" s="434">
        <v>44600</v>
      </c>
      <c r="O3" s="434">
        <v>27800</v>
      </c>
      <c r="P3" s="434">
        <v>25500</v>
      </c>
      <c r="Q3" s="435">
        <v>28500</v>
      </c>
    </row>
    <row r="4" spans="1:17" x14ac:dyDescent="0.15">
      <c r="A4" s="479" t="s">
        <v>19</v>
      </c>
      <c r="B4" s="372">
        <v>2</v>
      </c>
      <c r="C4" s="373" t="s">
        <v>20</v>
      </c>
      <c r="D4" s="433">
        <v>29400</v>
      </c>
      <c r="E4" s="434">
        <v>21700</v>
      </c>
      <c r="F4" s="434">
        <v>30000</v>
      </c>
      <c r="G4" s="434">
        <v>25400</v>
      </c>
      <c r="H4" s="434">
        <v>32100</v>
      </c>
      <c r="I4" s="434">
        <v>29200</v>
      </c>
      <c r="J4" s="434">
        <v>32900</v>
      </c>
      <c r="K4" s="434">
        <v>29300</v>
      </c>
      <c r="L4" s="434">
        <v>44300</v>
      </c>
      <c r="M4" s="434">
        <v>32700</v>
      </c>
      <c r="N4" s="434">
        <v>45200</v>
      </c>
      <c r="O4" s="434">
        <v>33200</v>
      </c>
      <c r="P4" s="434">
        <v>25000</v>
      </c>
      <c r="Q4" s="435">
        <v>27700</v>
      </c>
    </row>
    <row r="5" spans="1:17" x14ac:dyDescent="0.15">
      <c r="A5" s="478"/>
      <c r="B5" s="361">
        <v>3</v>
      </c>
      <c r="C5" s="374" t="s">
        <v>21</v>
      </c>
      <c r="D5" s="377">
        <v>27800</v>
      </c>
      <c r="E5" s="436">
        <v>23100</v>
      </c>
      <c r="F5" s="436">
        <v>28600</v>
      </c>
      <c r="G5" s="436">
        <v>26600</v>
      </c>
      <c r="H5" s="436">
        <v>31800</v>
      </c>
      <c r="I5" s="436">
        <v>29300</v>
      </c>
      <c r="J5" s="436">
        <v>32000</v>
      </c>
      <c r="K5" s="436">
        <v>26300</v>
      </c>
      <c r="L5" s="436">
        <v>46500</v>
      </c>
      <c r="M5" s="436">
        <v>32700</v>
      </c>
      <c r="N5" s="436">
        <v>45000</v>
      </c>
      <c r="O5" s="436">
        <v>32900</v>
      </c>
      <c r="P5" s="436">
        <v>26500</v>
      </c>
      <c r="Q5" s="378">
        <v>27300</v>
      </c>
    </row>
    <row r="6" spans="1:17" x14ac:dyDescent="0.15">
      <c r="A6" s="478"/>
      <c r="B6" s="361">
        <v>4</v>
      </c>
      <c r="C6" s="374" t="s">
        <v>22</v>
      </c>
      <c r="D6" s="377">
        <v>29300</v>
      </c>
      <c r="E6" s="436">
        <v>22900</v>
      </c>
      <c r="F6" s="436">
        <v>32300</v>
      </c>
      <c r="G6" s="436">
        <v>28200</v>
      </c>
      <c r="H6" s="436">
        <v>38100</v>
      </c>
      <c r="I6" s="436">
        <v>31300</v>
      </c>
      <c r="J6" s="436">
        <v>33500</v>
      </c>
      <c r="K6" s="436">
        <v>29300</v>
      </c>
      <c r="L6" s="436">
        <v>46200</v>
      </c>
      <c r="M6" s="436">
        <v>32300</v>
      </c>
      <c r="N6" s="436">
        <v>44500</v>
      </c>
      <c r="O6" s="436">
        <v>32900</v>
      </c>
      <c r="P6" s="436">
        <v>27700</v>
      </c>
      <c r="Q6" s="378">
        <v>27200</v>
      </c>
    </row>
    <row r="7" spans="1:17" x14ac:dyDescent="0.15">
      <c r="A7" s="478"/>
      <c r="B7" s="361">
        <v>5</v>
      </c>
      <c r="C7" s="374" t="s">
        <v>23</v>
      </c>
      <c r="D7" s="377">
        <v>27800</v>
      </c>
      <c r="E7" s="436">
        <v>22000</v>
      </c>
      <c r="F7" s="436">
        <v>29700</v>
      </c>
      <c r="G7" s="436">
        <v>26300</v>
      </c>
      <c r="H7" s="436">
        <v>33000</v>
      </c>
      <c r="I7" s="436">
        <v>29900</v>
      </c>
      <c r="J7" s="436">
        <v>31800</v>
      </c>
      <c r="K7" s="436">
        <v>30000</v>
      </c>
      <c r="L7" s="436">
        <v>45300</v>
      </c>
      <c r="M7" s="436">
        <v>33300</v>
      </c>
      <c r="N7" s="436">
        <v>45300</v>
      </c>
      <c r="O7" s="436">
        <v>34400</v>
      </c>
      <c r="P7" s="436">
        <v>24300</v>
      </c>
      <c r="Q7" s="378">
        <v>27700</v>
      </c>
    </row>
    <row r="8" spans="1:17" x14ac:dyDescent="0.15">
      <c r="A8" s="478"/>
      <c r="B8" s="361">
        <v>6</v>
      </c>
      <c r="C8" s="374" t="s">
        <v>24</v>
      </c>
      <c r="D8" s="377">
        <v>28000</v>
      </c>
      <c r="E8" s="436">
        <v>22100</v>
      </c>
      <c r="F8" s="436">
        <v>29900</v>
      </c>
      <c r="G8" s="436">
        <v>27400</v>
      </c>
      <c r="H8" s="436">
        <v>33600</v>
      </c>
      <c r="I8" s="436">
        <v>31600</v>
      </c>
      <c r="J8" s="436">
        <v>30100</v>
      </c>
      <c r="K8" s="436">
        <v>26700</v>
      </c>
      <c r="L8" s="436">
        <v>45400</v>
      </c>
      <c r="M8" s="436">
        <v>33200</v>
      </c>
      <c r="N8" s="436">
        <v>45400</v>
      </c>
      <c r="O8" s="436">
        <v>32300</v>
      </c>
      <c r="P8" s="436">
        <v>27000</v>
      </c>
      <c r="Q8" s="378">
        <v>27800</v>
      </c>
    </row>
    <row r="9" spans="1:17" ht="14.25" thickBot="1" x14ac:dyDescent="0.2">
      <c r="A9" s="480"/>
      <c r="B9" s="375">
        <v>7</v>
      </c>
      <c r="C9" s="376" t="s">
        <v>25</v>
      </c>
      <c r="D9" s="437">
        <v>29600</v>
      </c>
      <c r="E9" s="438">
        <v>23000</v>
      </c>
      <c r="F9" s="438">
        <v>32400</v>
      </c>
      <c r="G9" s="438">
        <v>28000</v>
      </c>
      <c r="H9" s="438">
        <v>33900</v>
      </c>
      <c r="I9" s="438">
        <v>31300</v>
      </c>
      <c r="J9" s="438">
        <v>28700</v>
      </c>
      <c r="K9" s="438">
        <v>25200</v>
      </c>
      <c r="L9" s="438">
        <v>45100</v>
      </c>
      <c r="M9" s="438">
        <v>32500</v>
      </c>
      <c r="N9" s="438">
        <v>45100</v>
      </c>
      <c r="O9" s="438">
        <v>30200</v>
      </c>
      <c r="P9" s="438">
        <v>27400</v>
      </c>
      <c r="Q9" s="439">
        <v>27500</v>
      </c>
    </row>
    <row r="10" spans="1:17" x14ac:dyDescent="0.15">
      <c r="A10" s="479" t="s">
        <v>26</v>
      </c>
      <c r="B10" s="372">
        <v>8</v>
      </c>
      <c r="C10" s="373" t="s">
        <v>27</v>
      </c>
      <c r="D10" s="377">
        <v>26200</v>
      </c>
      <c r="E10" s="436">
        <v>24900</v>
      </c>
      <c r="F10" s="436">
        <v>30400</v>
      </c>
      <c r="G10" s="436">
        <v>27500</v>
      </c>
      <c r="H10" s="436">
        <v>29400</v>
      </c>
      <c r="I10" s="436">
        <v>34200</v>
      </c>
      <c r="J10" s="436">
        <v>29400</v>
      </c>
      <c r="K10" s="436">
        <v>24400</v>
      </c>
      <c r="L10" s="436">
        <v>37700</v>
      </c>
      <c r="M10" s="436">
        <v>30500</v>
      </c>
      <c r="N10" s="436">
        <v>40200</v>
      </c>
      <c r="O10" s="436">
        <v>30000</v>
      </c>
      <c r="P10" s="436">
        <v>27200</v>
      </c>
      <c r="Q10" s="378">
        <v>27600</v>
      </c>
    </row>
    <row r="11" spans="1:17" x14ac:dyDescent="0.15">
      <c r="A11" s="478"/>
      <c r="B11" s="361">
        <v>9</v>
      </c>
      <c r="C11" s="374" t="s">
        <v>28</v>
      </c>
      <c r="D11" s="377">
        <v>26300</v>
      </c>
      <c r="E11" s="436">
        <v>23800</v>
      </c>
      <c r="F11" s="436">
        <v>29300</v>
      </c>
      <c r="G11" s="436">
        <v>27600</v>
      </c>
      <c r="H11" s="436">
        <v>29800</v>
      </c>
      <c r="I11" s="436">
        <v>35700</v>
      </c>
      <c r="J11" s="436">
        <v>27000</v>
      </c>
      <c r="K11" s="436">
        <v>25900</v>
      </c>
      <c r="L11" s="436">
        <v>39000</v>
      </c>
      <c r="M11" s="436">
        <v>31400</v>
      </c>
      <c r="N11" s="436">
        <v>41000</v>
      </c>
      <c r="O11" s="436">
        <v>30300</v>
      </c>
      <c r="P11" s="436">
        <v>27800</v>
      </c>
      <c r="Q11" s="378">
        <v>28100</v>
      </c>
    </row>
    <row r="12" spans="1:17" x14ac:dyDescent="0.15">
      <c r="A12" s="478"/>
      <c r="B12" s="361">
        <v>10</v>
      </c>
      <c r="C12" s="374" t="s">
        <v>29</v>
      </c>
      <c r="D12" s="377">
        <v>26000</v>
      </c>
      <c r="E12" s="436">
        <v>24800</v>
      </c>
      <c r="F12" s="436">
        <v>27500</v>
      </c>
      <c r="G12" s="436">
        <v>26700</v>
      </c>
      <c r="H12" s="436">
        <v>28600</v>
      </c>
      <c r="I12" s="436">
        <v>32900</v>
      </c>
      <c r="J12" s="436">
        <v>27000</v>
      </c>
      <c r="K12" s="436">
        <v>22900</v>
      </c>
      <c r="L12" s="436">
        <v>41300</v>
      </c>
      <c r="M12" s="436">
        <v>30900</v>
      </c>
      <c r="N12" s="436">
        <v>40200</v>
      </c>
      <c r="O12" s="436">
        <v>30100</v>
      </c>
      <c r="P12" s="436">
        <v>26500</v>
      </c>
      <c r="Q12" s="378">
        <v>27700</v>
      </c>
    </row>
    <row r="13" spans="1:17" x14ac:dyDescent="0.15">
      <c r="A13" s="478"/>
      <c r="B13" s="361">
        <v>11</v>
      </c>
      <c r="C13" s="374" t="s">
        <v>30</v>
      </c>
      <c r="D13" s="377">
        <v>27900</v>
      </c>
      <c r="E13" s="436">
        <v>25400</v>
      </c>
      <c r="F13" s="436">
        <v>31800</v>
      </c>
      <c r="G13" s="436">
        <v>29300</v>
      </c>
      <c r="H13" s="436">
        <v>31600</v>
      </c>
      <c r="I13" s="436">
        <v>34300</v>
      </c>
      <c r="J13" s="436">
        <v>30700</v>
      </c>
      <c r="K13" s="436">
        <v>26800</v>
      </c>
      <c r="L13" s="436">
        <v>36500</v>
      </c>
      <c r="M13" s="436">
        <v>30700</v>
      </c>
      <c r="N13" s="436">
        <v>40400</v>
      </c>
      <c r="O13" s="436">
        <v>30400</v>
      </c>
      <c r="P13" s="436">
        <v>27100</v>
      </c>
      <c r="Q13" s="378">
        <v>27700</v>
      </c>
    </row>
    <row r="14" spans="1:17" x14ac:dyDescent="0.15">
      <c r="A14" s="478"/>
      <c r="B14" s="361">
        <v>12</v>
      </c>
      <c r="C14" s="374" t="s">
        <v>31</v>
      </c>
      <c r="D14" s="377">
        <v>29000</v>
      </c>
      <c r="E14" s="436">
        <v>25100</v>
      </c>
      <c r="F14" s="436">
        <v>33000</v>
      </c>
      <c r="G14" s="436">
        <v>29700</v>
      </c>
      <c r="H14" s="436">
        <v>32900</v>
      </c>
      <c r="I14" s="436">
        <v>34500</v>
      </c>
      <c r="J14" s="436">
        <v>30000</v>
      </c>
      <c r="K14" s="436">
        <v>26700</v>
      </c>
      <c r="L14" s="436">
        <v>36500</v>
      </c>
      <c r="M14" s="436">
        <v>30700</v>
      </c>
      <c r="N14" s="436">
        <v>40300</v>
      </c>
      <c r="O14" s="436">
        <v>31200</v>
      </c>
      <c r="P14" s="436">
        <v>27700</v>
      </c>
      <c r="Q14" s="378">
        <v>27800</v>
      </c>
    </row>
    <row r="15" spans="1:17" x14ac:dyDescent="0.15">
      <c r="A15" s="478"/>
      <c r="B15" s="361">
        <v>13</v>
      </c>
      <c r="C15" s="374" t="s">
        <v>32</v>
      </c>
      <c r="D15" s="377">
        <v>29900</v>
      </c>
      <c r="E15" s="436">
        <v>26800</v>
      </c>
      <c r="F15" s="436">
        <v>32900</v>
      </c>
      <c r="G15" s="436">
        <v>32600</v>
      </c>
      <c r="H15" s="436">
        <v>32600</v>
      </c>
      <c r="I15" s="436">
        <v>37000</v>
      </c>
      <c r="J15" s="436">
        <v>30500</v>
      </c>
      <c r="K15" s="436">
        <v>25400</v>
      </c>
      <c r="L15" s="436">
        <v>35800</v>
      </c>
      <c r="M15" s="436">
        <v>31000</v>
      </c>
      <c r="N15" s="436">
        <v>40500</v>
      </c>
      <c r="O15" s="436">
        <v>32400</v>
      </c>
      <c r="P15" s="436">
        <v>28600</v>
      </c>
      <c r="Q15" s="378">
        <v>28000</v>
      </c>
    </row>
    <row r="16" spans="1:17" x14ac:dyDescent="0.15">
      <c r="A16" s="478"/>
      <c r="B16" s="361">
        <v>14</v>
      </c>
      <c r="C16" s="374" t="s">
        <v>33</v>
      </c>
      <c r="D16" s="377">
        <v>29900</v>
      </c>
      <c r="E16" s="436">
        <v>26500</v>
      </c>
      <c r="F16" s="436">
        <v>32700</v>
      </c>
      <c r="G16" s="436">
        <v>29800</v>
      </c>
      <c r="H16" s="436">
        <v>30300</v>
      </c>
      <c r="I16" s="436">
        <v>37500</v>
      </c>
      <c r="J16" s="436">
        <v>31400</v>
      </c>
      <c r="K16" s="436">
        <v>26900</v>
      </c>
      <c r="L16" s="436">
        <v>39400</v>
      </c>
      <c r="M16" s="436">
        <v>30700</v>
      </c>
      <c r="N16" s="436">
        <v>40200</v>
      </c>
      <c r="O16" s="436">
        <v>32600</v>
      </c>
      <c r="P16" s="436">
        <v>26900</v>
      </c>
      <c r="Q16" s="378">
        <v>27800</v>
      </c>
    </row>
    <row r="17" spans="1:17" x14ac:dyDescent="0.15">
      <c r="A17" s="478"/>
      <c r="B17" s="361">
        <v>15</v>
      </c>
      <c r="C17" s="374" t="s">
        <v>34</v>
      </c>
      <c r="D17" s="377">
        <v>28500</v>
      </c>
      <c r="E17" s="436">
        <v>26400</v>
      </c>
      <c r="F17" s="436">
        <v>29200</v>
      </c>
      <c r="G17" s="436">
        <v>29200</v>
      </c>
      <c r="H17" s="436">
        <v>29800</v>
      </c>
      <c r="I17" s="436">
        <v>36200</v>
      </c>
      <c r="J17" s="436">
        <v>30300</v>
      </c>
      <c r="K17" s="436">
        <v>26200</v>
      </c>
      <c r="L17" s="436">
        <v>38100</v>
      </c>
      <c r="M17" s="436">
        <v>30800</v>
      </c>
      <c r="N17" s="436">
        <v>40600</v>
      </c>
      <c r="O17" s="436">
        <v>31000</v>
      </c>
      <c r="P17" s="436">
        <v>27000</v>
      </c>
      <c r="Q17" s="378">
        <v>27800</v>
      </c>
    </row>
    <row r="18" spans="1:17" ht="14.25" thickBot="1" x14ac:dyDescent="0.2">
      <c r="A18" s="480"/>
      <c r="B18" s="375">
        <v>16</v>
      </c>
      <c r="C18" s="376" t="s">
        <v>35</v>
      </c>
      <c r="D18" s="377">
        <v>27300</v>
      </c>
      <c r="E18" s="436">
        <v>24100</v>
      </c>
      <c r="F18" s="436">
        <v>28600</v>
      </c>
      <c r="G18" s="436">
        <v>27200</v>
      </c>
      <c r="H18" s="436">
        <v>27700</v>
      </c>
      <c r="I18" s="436">
        <v>31800</v>
      </c>
      <c r="J18" s="436">
        <v>26900</v>
      </c>
      <c r="K18" s="436">
        <v>23500</v>
      </c>
      <c r="L18" s="436">
        <v>39900</v>
      </c>
      <c r="M18" s="436">
        <v>30900</v>
      </c>
      <c r="N18" s="436">
        <v>40000</v>
      </c>
      <c r="O18" s="436">
        <v>29900</v>
      </c>
      <c r="P18" s="436">
        <v>26100</v>
      </c>
      <c r="Q18" s="378">
        <v>27600</v>
      </c>
    </row>
    <row r="19" spans="1:17" x14ac:dyDescent="0.15">
      <c r="A19" s="479" t="s">
        <v>36</v>
      </c>
      <c r="B19" s="372">
        <v>17</v>
      </c>
      <c r="C19" s="373" t="s">
        <v>37</v>
      </c>
      <c r="D19" s="433">
        <v>27600</v>
      </c>
      <c r="E19" s="434">
        <v>22900</v>
      </c>
      <c r="F19" s="434">
        <v>27900</v>
      </c>
      <c r="G19" s="434">
        <v>26600</v>
      </c>
      <c r="H19" s="434">
        <v>29800</v>
      </c>
      <c r="I19" s="434">
        <v>30400</v>
      </c>
      <c r="J19" s="434">
        <v>26800</v>
      </c>
      <c r="K19" s="434">
        <v>24300</v>
      </c>
      <c r="L19" s="434">
        <v>46600</v>
      </c>
      <c r="M19" s="434">
        <v>32000</v>
      </c>
      <c r="N19" s="434">
        <v>50100</v>
      </c>
      <c r="O19" s="434">
        <v>28000</v>
      </c>
      <c r="P19" s="434">
        <v>26000</v>
      </c>
      <c r="Q19" s="435">
        <v>28800</v>
      </c>
    </row>
    <row r="20" spans="1:17" x14ac:dyDescent="0.15">
      <c r="A20" s="478"/>
      <c r="B20" s="361">
        <v>18</v>
      </c>
      <c r="C20" s="374" t="s">
        <v>38</v>
      </c>
      <c r="D20" s="377">
        <v>30900</v>
      </c>
      <c r="E20" s="436">
        <v>24400</v>
      </c>
      <c r="F20" s="436">
        <v>31500</v>
      </c>
      <c r="G20" s="436">
        <v>28100</v>
      </c>
      <c r="H20" s="436">
        <v>32300</v>
      </c>
      <c r="I20" s="436">
        <v>32000</v>
      </c>
      <c r="J20" s="436">
        <v>28500</v>
      </c>
      <c r="K20" s="436">
        <v>24500</v>
      </c>
      <c r="L20" s="436">
        <v>47800</v>
      </c>
      <c r="M20" s="436">
        <v>31900</v>
      </c>
      <c r="N20" s="436">
        <v>50000</v>
      </c>
      <c r="O20" s="436">
        <v>29900</v>
      </c>
      <c r="P20" s="436">
        <v>26300</v>
      </c>
      <c r="Q20" s="378">
        <v>29000</v>
      </c>
    </row>
    <row r="21" spans="1:17" ht="14.25" thickBot="1" x14ac:dyDescent="0.2">
      <c r="A21" s="480"/>
      <c r="B21" s="375">
        <v>19</v>
      </c>
      <c r="C21" s="376" t="s">
        <v>39</v>
      </c>
      <c r="D21" s="437">
        <v>30000</v>
      </c>
      <c r="E21" s="438">
        <v>25300</v>
      </c>
      <c r="F21" s="438">
        <v>31800</v>
      </c>
      <c r="G21" s="438">
        <v>28400</v>
      </c>
      <c r="H21" s="438">
        <v>31900</v>
      </c>
      <c r="I21" s="438">
        <v>31700</v>
      </c>
      <c r="J21" s="438">
        <v>27900</v>
      </c>
      <c r="K21" s="438">
        <v>25600</v>
      </c>
      <c r="L21" s="438">
        <v>47800</v>
      </c>
      <c r="M21" s="438">
        <v>32600</v>
      </c>
      <c r="N21" s="438">
        <v>50300</v>
      </c>
      <c r="O21" s="438">
        <v>32200</v>
      </c>
      <c r="P21" s="438">
        <v>26600</v>
      </c>
      <c r="Q21" s="439">
        <v>29100</v>
      </c>
    </row>
    <row r="22" spans="1:17" x14ac:dyDescent="0.15">
      <c r="A22" s="479" t="s">
        <v>40</v>
      </c>
      <c r="B22" s="372">
        <v>20</v>
      </c>
      <c r="C22" s="373" t="s">
        <v>41</v>
      </c>
      <c r="D22" s="377">
        <v>28000</v>
      </c>
      <c r="E22" s="436">
        <v>24800</v>
      </c>
      <c r="F22" s="436">
        <v>31000</v>
      </c>
      <c r="G22" s="436">
        <v>26300</v>
      </c>
      <c r="H22" s="436">
        <v>30400</v>
      </c>
      <c r="I22" s="436">
        <v>32400</v>
      </c>
      <c r="J22" s="436">
        <v>29900</v>
      </c>
      <c r="K22" s="436">
        <v>25900</v>
      </c>
      <c r="L22" s="436">
        <v>47100</v>
      </c>
      <c r="M22" s="436">
        <v>33000</v>
      </c>
      <c r="N22" s="436">
        <v>46300</v>
      </c>
      <c r="O22" s="436">
        <v>30900</v>
      </c>
      <c r="P22" s="436">
        <v>25700</v>
      </c>
      <c r="Q22" s="378">
        <v>30700</v>
      </c>
    </row>
    <row r="23" spans="1:17" x14ac:dyDescent="0.15">
      <c r="A23" s="478"/>
      <c r="B23" s="361">
        <v>21</v>
      </c>
      <c r="C23" s="374" t="s">
        <v>42</v>
      </c>
      <c r="D23" s="377">
        <v>27700</v>
      </c>
      <c r="E23" s="436">
        <v>26000</v>
      </c>
      <c r="F23" s="436">
        <v>29900</v>
      </c>
      <c r="G23" s="436">
        <v>27800</v>
      </c>
      <c r="H23" s="436">
        <v>31100</v>
      </c>
      <c r="I23" s="436">
        <v>35000</v>
      </c>
      <c r="J23" s="436">
        <v>29100</v>
      </c>
      <c r="K23" s="436">
        <v>26200</v>
      </c>
      <c r="L23" s="436">
        <v>46600</v>
      </c>
      <c r="M23" s="436">
        <v>32800</v>
      </c>
      <c r="N23" s="436">
        <v>46200</v>
      </c>
      <c r="O23" s="436">
        <v>31000</v>
      </c>
      <c r="P23" s="436">
        <v>25700</v>
      </c>
      <c r="Q23" s="378">
        <v>30700</v>
      </c>
    </row>
    <row r="24" spans="1:17" x14ac:dyDescent="0.15">
      <c r="A24" s="478"/>
      <c r="B24" s="361">
        <v>22</v>
      </c>
      <c r="C24" s="374" t="s">
        <v>43</v>
      </c>
      <c r="D24" s="377">
        <v>29200</v>
      </c>
      <c r="E24" s="436">
        <v>24800</v>
      </c>
      <c r="F24" s="436">
        <v>31900</v>
      </c>
      <c r="G24" s="436">
        <v>26400</v>
      </c>
      <c r="H24" s="436">
        <v>30400</v>
      </c>
      <c r="I24" s="436">
        <v>34200</v>
      </c>
      <c r="J24" s="436">
        <v>29500</v>
      </c>
      <c r="K24" s="436">
        <v>26700</v>
      </c>
      <c r="L24" s="436">
        <v>45900</v>
      </c>
      <c r="M24" s="436">
        <v>32800</v>
      </c>
      <c r="N24" s="436">
        <v>46300</v>
      </c>
      <c r="O24" s="436">
        <v>30900</v>
      </c>
      <c r="P24" s="436">
        <v>26100</v>
      </c>
      <c r="Q24" s="378">
        <v>30700</v>
      </c>
    </row>
    <row r="25" spans="1:17" ht="14.25" thickBot="1" x14ac:dyDescent="0.2">
      <c r="A25" s="480"/>
      <c r="B25" s="375">
        <v>23</v>
      </c>
      <c r="C25" s="376" t="s">
        <v>44</v>
      </c>
      <c r="D25" s="377">
        <v>27600</v>
      </c>
      <c r="E25" s="436">
        <v>23700</v>
      </c>
      <c r="F25" s="436">
        <v>32300</v>
      </c>
      <c r="G25" s="436">
        <v>26300</v>
      </c>
      <c r="H25" s="436">
        <v>30500</v>
      </c>
      <c r="I25" s="436">
        <v>33400</v>
      </c>
      <c r="J25" s="436">
        <v>28600</v>
      </c>
      <c r="K25" s="436">
        <v>25400</v>
      </c>
      <c r="L25" s="436">
        <v>46700</v>
      </c>
      <c r="M25" s="436">
        <v>32200</v>
      </c>
      <c r="N25" s="436">
        <v>45900</v>
      </c>
      <c r="O25" s="436">
        <v>29500</v>
      </c>
      <c r="P25" s="436">
        <v>26200</v>
      </c>
      <c r="Q25" s="378">
        <v>30400</v>
      </c>
    </row>
    <row r="26" spans="1:17" x14ac:dyDescent="0.15">
      <c r="A26" s="478" t="s">
        <v>45</v>
      </c>
      <c r="B26" s="361">
        <v>24</v>
      </c>
      <c r="C26" s="374" t="s">
        <v>46</v>
      </c>
      <c r="D26" s="433">
        <v>26000</v>
      </c>
      <c r="E26" s="434">
        <v>21300</v>
      </c>
      <c r="F26" s="434">
        <v>26400</v>
      </c>
      <c r="G26" s="434">
        <v>24600</v>
      </c>
      <c r="H26" s="434">
        <v>27800</v>
      </c>
      <c r="I26" s="434">
        <v>31400</v>
      </c>
      <c r="J26" s="434">
        <v>25800</v>
      </c>
      <c r="K26" s="434">
        <v>25500</v>
      </c>
      <c r="L26" s="434">
        <v>47100</v>
      </c>
      <c r="M26" s="434">
        <v>32400</v>
      </c>
      <c r="N26" s="434">
        <v>45300</v>
      </c>
      <c r="O26" s="434">
        <v>28800</v>
      </c>
      <c r="P26" s="434">
        <v>25900</v>
      </c>
      <c r="Q26" s="435">
        <v>27300</v>
      </c>
    </row>
    <row r="27" spans="1:17" x14ac:dyDescent="0.15">
      <c r="A27" s="478"/>
      <c r="B27" s="361">
        <v>25</v>
      </c>
      <c r="C27" s="374" t="s">
        <v>47</v>
      </c>
      <c r="D27" s="377">
        <v>26300</v>
      </c>
      <c r="E27" s="436">
        <v>22700</v>
      </c>
      <c r="F27" s="436">
        <v>28000</v>
      </c>
      <c r="G27" s="436">
        <v>26100</v>
      </c>
      <c r="H27" s="436">
        <v>29200</v>
      </c>
      <c r="I27" s="436">
        <v>32900</v>
      </c>
      <c r="J27" s="436">
        <v>26800</v>
      </c>
      <c r="K27" s="436">
        <v>24400</v>
      </c>
      <c r="L27" s="436">
        <v>47700</v>
      </c>
      <c r="M27" s="436">
        <v>32300</v>
      </c>
      <c r="N27" s="436">
        <v>46100</v>
      </c>
      <c r="O27" s="436">
        <v>29100</v>
      </c>
      <c r="P27" s="436">
        <v>26600</v>
      </c>
      <c r="Q27" s="378">
        <v>28500</v>
      </c>
    </row>
    <row r="28" spans="1:17" x14ac:dyDescent="0.15">
      <c r="A28" s="478"/>
      <c r="B28" s="361">
        <v>26</v>
      </c>
      <c r="C28" s="374" t="s">
        <v>48</v>
      </c>
      <c r="D28" s="377">
        <v>25700</v>
      </c>
      <c r="E28" s="436">
        <v>23800</v>
      </c>
      <c r="F28" s="436">
        <v>27600</v>
      </c>
      <c r="G28" s="436">
        <v>25500</v>
      </c>
      <c r="H28" s="436">
        <v>28200</v>
      </c>
      <c r="I28" s="436">
        <v>32700</v>
      </c>
      <c r="J28" s="436">
        <v>25400</v>
      </c>
      <c r="K28" s="436">
        <v>23500</v>
      </c>
      <c r="L28" s="436">
        <v>46800</v>
      </c>
      <c r="M28" s="436">
        <v>31200</v>
      </c>
      <c r="N28" s="436">
        <v>45400</v>
      </c>
      <c r="O28" s="436">
        <v>28700</v>
      </c>
      <c r="P28" s="436">
        <v>26500</v>
      </c>
      <c r="Q28" s="378">
        <v>28200</v>
      </c>
    </row>
    <row r="29" spans="1:17" x14ac:dyDescent="0.15">
      <c r="A29" s="478"/>
      <c r="B29" s="361">
        <v>27</v>
      </c>
      <c r="C29" s="374" t="s">
        <v>49</v>
      </c>
      <c r="D29" s="377">
        <v>27400</v>
      </c>
      <c r="E29" s="436">
        <v>23300</v>
      </c>
      <c r="F29" s="436">
        <v>29400</v>
      </c>
      <c r="G29" s="436">
        <v>26600</v>
      </c>
      <c r="H29" s="436">
        <v>28800</v>
      </c>
      <c r="I29" s="436">
        <v>32300</v>
      </c>
      <c r="J29" s="436">
        <v>27300</v>
      </c>
      <c r="K29" s="436">
        <v>23700</v>
      </c>
      <c r="L29" s="436">
        <v>46500</v>
      </c>
      <c r="M29" s="436">
        <v>31000</v>
      </c>
      <c r="N29" s="436">
        <v>45200</v>
      </c>
      <c r="O29" s="436">
        <v>29800</v>
      </c>
      <c r="P29" s="436">
        <v>27200</v>
      </c>
      <c r="Q29" s="378">
        <v>28000</v>
      </c>
    </row>
    <row r="30" spans="1:17" x14ac:dyDescent="0.15">
      <c r="A30" s="478"/>
      <c r="B30" s="361">
        <v>28</v>
      </c>
      <c r="C30" s="374" t="s">
        <v>50</v>
      </c>
      <c r="D30" s="377">
        <v>24700</v>
      </c>
      <c r="E30" s="436">
        <v>23500</v>
      </c>
      <c r="F30" s="436">
        <v>28000</v>
      </c>
      <c r="G30" s="436">
        <v>25100</v>
      </c>
      <c r="H30" s="436">
        <v>26900</v>
      </c>
      <c r="I30" s="436">
        <v>31800</v>
      </c>
      <c r="J30" s="436">
        <v>25700</v>
      </c>
      <c r="K30" s="436">
        <v>23500</v>
      </c>
      <c r="L30" s="436">
        <v>46100</v>
      </c>
      <c r="M30" s="436">
        <v>30900</v>
      </c>
      <c r="N30" s="436">
        <v>45300</v>
      </c>
      <c r="O30" s="436">
        <v>28300</v>
      </c>
      <c r="P30" s="436">
        <v>24400</v>
      </c>
      <c r="Q30" s="378">
        <v>28000</v>
      </c>
    </row>
    <row r="31" spans="1:17" x14ac:dyDescent="0.15">
      <c r="A31" s="478"/>
      <c r="B31" s="361">
        <v>29</v>
      </c>
      <c r="C31" s="374" t="s">
        <v>51</v>
      </c>
      <c r="D31" s="377">
        <v>27700</v>
      </c>
      <c r="E31" s="436">
        <v>23400</v>
      </c>
      <c r="F31" s="436">
        <v>28600</v>
      </c>
      <c r="G31" s="436">
        <v>26200</v>
      </c>
      <c r="H31" s="436">
        <v>28900</v>
      </c>
      <c r="I31" s="436">
        <v>33900</v>
      </c>
      <c r="J31" s="436">
        <v>26500</v>
      </c>
      <c r="K31" s="436">
        <v>24000</v>
      </c>
      <c r="L31" s="436">
        <v>47400</v>
      </c>
      <c r="M31" s="436">
        <v>31100</v>
      </c>
      <c r="N31" s="436">
        <v>46100</v>
      </c>
      <c r="O31" s="436">
        <v>30000</v>
      </c>
      <c r="P31" s="436">
        <v>27200</v>
      </c>
      <c r="Q31" s="378">
        <v>27900</v>
      </c>
    </row>
    <row r="32" spans="1:17" ht="14.25" thickBot="1" x14ac:dyDescent="0.2">
      <c r="A32" s="478"/>
      <c r="B32" s="361">
        <v>30</v>
      </c>
      <c r="C32" s="374" t="s">
        <v>52</v>
      </c>
      <c r="D32" s="437">
        <v>26700</v>
      </c>
      <c r="E32" s="438">
        <v>23600</v>
      </c>
      <c r="F32" s="438">
        <v>28400</v>
      </c>
      <c r="G32" s="438">
        <v>26300</v>
      </c>
      <c r="H32" s="438">
        <v>27700</v>
      </c>
      <c r="I32" s="438">
        <v>32200</v>
      </c>
      <c r="J32" s="438">
        <v>24900</v>
      </c>
      <c r="K32" s="438">
        <v>23300</v>
      </c>
      <c r="L32" s="438">
        <v>45100</v>
      </c>
      <c r="M32" s="438">
        <v>30800</v>
      </c>
      <c r="N32" s="438">
        <v>45400</v>
      </c>
      <c r="O32" s="438">
        <v>30000</v>
      </c>
      <c r="P32" s="438">
        <v>26100</v>
      </c>
      <c r="Q32" s="439">
        <v>27600</v>
      </c>
    </row>
    <row r="33" spans="1:17" x14ac:dyDescent="0.15">
      <c r="A33" s="479" t="s">
        <v>53</v>
      </c>
      <c r="B33" s="372">
        <v>31</v>
      </c>
      <c r="C33" s="373" t="s">
        <v>54</v>
      </c>
      <c r="D33" s="377">
        <v>22900</v>
      </c>
      <c r="E33" s="436">
        <v>17900</v>
      </c>
      <c r="F33" s="436">
        <v>25700</v>
      </c>
      <c r="G33" s="436">
        <v>23200</v>
      </c>
      <c r="H33" s="436">
        <v>27000</v>
      </c>
      <c r="I33" s="436">
        <v>28400</v>
      </c>
      <c r="J33" s="436">
        <v>20900</v>
      </c>
      <c r="K33" s="436">
        <v>19200</v>
      </c>
      <c r="L33" s="436">
        <v>44700</v>
      </c>
      <c r="M33" s="436">
        <v>29900</v>
      </c>
      <c r="N33" s="434">
        <v>46800</v>
      </c>
      <c r="O33" s="436">
        <v>25200</v>
      </c>
      <c r="P33" s="436">
        <v>23700</v>
      </c>
      <c r="Q33" s="378">
        <v>27600</v>
      </c>
    </row>
    <row r="34" spans="1:17" x14ac:dyDescent="0.15">
      <c r="A34" s="478"/>
      <c r="B34" s="361">
        <v>32</v>
      </c>
      <c r="C34" s="374" t="s">
        <v>55</v>
      </c>
      <c r="D34" s="377">
        <v>23200</v>
      </c>
      <c r="E34" s="436">
        <v>19200</v>
      </c>
      <c r="F34" s="436">
        <v>25500</v>
      </c>
      <c r="G34" s="436">
        <v>23200</v>
      </c>
      <c r="H34" s="436">
        <v>26600</v>
      </c>
      <c r="I34" s="436">
        <v>26100</v>
      </c>
      <c r="J34" s="436">
        <v>22800</v>
      </c>
      <c r="K34" s="436">
        <v>19500</v>
      </c>
      <c r="L34" s="436">
        <v>45700</v>
      </c>
      <c r="M34" s="436">
        <v>30800</v>
      </c>
      <c r="N34" s="436">
        <v>46700</v>
      </c>
      <c r="O34" s="436">
        <v>24200</v>
      </c>
      <c r="P34" s="436">
        <v>23300</v>
      </c>
      <c r="Q34" s="378">
        <v>27500</v>
      </c>
    </row>
    <row r="35" spans="1:17" x14ac:dyDescent="0.15">
      <c r="A35" s="478"/>
      <c r="B35" s="361">
        <v>33</v>
      </c>
      <c r="C35" s="374" t="s">
        <v>56</v>
      </c>
      <c r="D35" s="377">
        <v>24800</v>
      </c>
      <c r="E35" s="436">
        <v>21100</v>
      </c>
      <c r="F35" s="436">
        <v>26900</v>
      </c>
      <c r="G35" s="436">
        <v>24100</v>
      </c>
      <c r="H35" s="436">
        <v>27400</v>
      </c>
      <c r="I35" s="436">
        <v>28800</v>
      </c>
      <c r="J35" s="436">
        <v>24700</v>
      </c>
      <c r="K35" s="436">
        <v>22200</v>
      </c>
      <c r="L35" s="436">
        <v>44000</v>
      </c>
      <c r="M35" s="436">
        <v>30900</v>
      </c>
      <c r="N35" s="436">
        <v>47600</v>
      </c>
      <c r="O35" s="436">
        <v>26100</v>
      </c>
      <c r="P35" s="436">
        <v>24600</v>
      </c>
      <c r="Q35" s="378">
        <v>27800</v>
      </c>
    </row>
    <row r="36" spans="1:17" x14ac:dyDescent="0.15">
      <c r="A36" s="478"/>
      <c r="B36" s="361">
        <v>34</v>
      </c>
      <c r="C36" s="374" t="s">
        <v>57</v>
      </c>
      <c r="D36" s="377">
        <v>25100</v>
      </c>
      <c r="E36" s="436">
        <v>21900</v>
      </c>
      <c r="F36" s="436">
        <v>26400</v>
      </c>
      <c r="G36" s="436">
        <v>24700</v>
      </c>
      <c r="H36" s="436">
        <v>26000</v>
      </c>
      <c r="I36" s="436">
        <v>26400</v>
      </c>
      <c r="J36" s="436">
        <v>25200</v>
      </c>
      <c r="K36" s="436">
        <v>22100</v>
      </c>
      <c r="L36" s="436">
        <v>46100</v>
      </c>
      <c r="M36" s="436">
        <v>30800</v>
      </c>
      <c r="N36" s="436">
        <v>46900</v>
      </c>
      <c r="O36" s="436">
        <v>25200</v>
      </c>
      <c r="P36" s="436">
        <v>23600</v>
      </c>
      <c r="Q36" s="378">
        <v>27700</v>
      </c>
    </row>
    <row r="37" spans="1:17" ht="14.25" thickBot="1" x14ac:dyDescent="0.2">
      <c r="A37" s="480"/>
      <c r="B37" s="375">
        <v>35</v>
      </c>
      <c r="C37" s="376" t="s">
        <v>58</v>
      </c>
      <c r="D37" s="377">
        <v>23200</v>
      </c>
      <c r="E37" s="436">
        <v>19900</v>
      </c>
      <c r="F37" s="436">
        <v>26200</v>
      </c>
      <c r="G37" s="436">
        <v>24100</v>
      </c>
      <c r="H37" s="436">
        <v>26600</v>
      </c>
      <c r="I37" s="436">
        <v>26600</v>
      </c>
      <c r="J37" s="436">
        <v>23100</v>
      </c>
      <c r="K37" s="436">
        <v>21100</v>
      </c>
      <c r="L37" s="436">
        <v>46400</v>
      </c>
      <c r="M37" s="436">
        <v>30800</v>
      </c>
      <c r="N37" s="436">
        <v>46800</v>
      </c>
      <c r="O37" s="436">
        <v>25600</v>
      </c>
      <c r="P37" s="436">
        <v>23800</v>
      </c>
      <c r="Q37" s="378">
        <v>27500</v>
      </c>
    </row>
    <row r="38" spans="1:17" x14ac:dyDescent="0.15">
      <c r="A38" s="478" t="s">
        <v>59</v>
      </c>
      <c r="B38" s="361">
        <v>36</v>
      </c>
      <c r="C38" s="374" t="s">
        <v>60</v>
      </c>
      <c r="D38" s="433">
        <v>24900</v>
      </c>
      <c r="E38" s="434">
        <v>23400</v>
      </c>
      <c r="F38" s="434">
        <v>26900</v>
      </c>
      <c r="G38" s="434">
        <v>25200</v>
      </c>
      <c r="H38" s="434">
        <v>26100</v>
      </c>
      <c r="I38" s="434">
        <v>28600</v>
      </c>
      <c r="J38" s="434">
        <v>23200</v>
      </c>
      <c r="K38" s="434">
        <v>22100</v>
      </c>
      <c r="L38" s="434">
        <v>42800</v>
      </c>
      <c r="M38" s="434">
        <v>30900</v>
      </c>
      <c r="N38" s="434">
        <v>44400</v>
      </c>
      <c r="O38" s="434">
        <v>28000</v>
      </c>
      <c r="P38" s="434">
        <v>24300</v>
      </c>
      <c r="Q38" s="435">
        <v>26200</v>
      </c>
    </row>
    <row r="39" spans="1:17" x14ac:dyDescent="0.15">
      <c r="A39" s="478"/>
      <c r="B39" s="361">
        <v>37</v>
      </c>
      <c r="C39" s="374" t="s">
        <v>61</v>
      </c>
      <c r="D39" s="377">
        <v>25800</v>
      </c>
      <c r="E39" s="436">
        <v>24000</v>
      </c>
      <c r="F39" s="436">
        <v>27000</v>
      </c>
      <c r="G39" s="436">
        <v>25700</v>
      </c>
      <c r="H39" s="436">
        <v>26300</v>
      </c>
      <c r="I39" s="436">
        <v>28700</v>
      </c>
      <c r="J39" s="436">
        <v>24800</v>
      </c>
      <c r="K39" s="436">
        <v>23100</v>
      </c>
      <c r="L39" s="436">
        <v>43000</v>
      </c>
      <c r="M39" s="436">
        <v>30700</v>
      </c>
      <c r="N39" s="436">
        <v>44500</v>
      </c>
      <c r="O39" s="436">
        <v>27900</v>
      </c>
      <c r="P39" s="436">
        <v>25300</v>
      </c>
      <c r="Q39" s="378">
        <v>26300</v>
      </c>
    </row>
    <row r="40" spans="1:17" x14ac:dyDescent="0.15">
      <c r="A40" s="478"/>
      <c r="B40" s="361">
        <v>38</v>
      </c>
      <c r="C40" s="374" t="s">
        <v>62</v>
      </c>
      <c r="D40" s="377">
        <v>24300</v>
      </c>
      <c r="E40" s="436">
        <v>21000</v>
      </c>
      <c r="F40" s="436">
        <v>26700</v>
      </c>
      <c r="G40" s="436">
        <v>24400</v>
      </c>
      <c r="H40" s="436">
        <v>24800</v>
      </c>
      <c r="I40" s="436">
        <v>28700</v>
      </c>
      <c r="J40" s="436">
        <v>25200</v>
      </c>
      <c r="K40" s="436">
        <v>22700</v>
      </c>
      <c r="L40" s="436">
        <v>42800</v>
      </c>
      <c r="M40" s="436">
        <v>30500</v>
      </c>
      <c r="N40" s="436">
        <v>44300</v>
      </c>
      <c r="O40" s="436">
        <v>29200</v>
      </c>
      <c r="P40" s="436">
        <v>24000</v>
      </c>
      <c r="Q40" s="378">
        <v>26200</v>
      </c>
    </row>
    <row r="41" spans="1:17" ht="14.25" thickBot="1" x14ac:dyDescent="0.2">
      <c r="A41" s="478"/>
      <c r="B41" s="361">
        <v>39</v>
      </c>
      <c r="C41" s="374" t="s">
        <v>63</v>
      </c>
      <c r="D41" s="437">
        <v>23800</v>
      </c>
      <c r="E41" s="438">
        <v>21200</v>
      </c>
      <c r="F41" s="438">
        <v>27000</v>
      </c>
      <c r="G41" s="438">
        <v>24200</v>
      </c>
      <c r="H41" s="438">
        <v>24700</v>
      </c>
      <c r="I41" s="438">
        <v>28500</v>
      </c>
      <c r="J41" s="438">
        <v>25500</v>
      </c>
      <c r="K41" s="438">
        <v>23000</v>
      </c>
      <c r="L41" s="438">
        <v>42500</v>
      </c>
      <c r="M41" s="438">
        <v>30400</v>
      </c>
      <c r="N41" s="438">
        <v>43700</v>
      </c>
      <c r="O41" s="438">
        <v>27300</v>
      </c>
      <c r="P41" s="438">
        <v>23400</v>
      </c>
      <c r="Q41" s="439">
        <v>26200</v>
      </c>
    </row>
    <row r="42" spans="1:17" x14ac:dyDescent="0.15">
      <c r="A42" s="479" t="s">
        <v>64</v>
      </c>
      <c r="B42" s="372">
        <v>40</v>
      </c>
      <c r="C42" s="379" t="s">
        <v>65</v>
      </c>
      <c r="D42" s="377">
        <v>26700</v>
      </c>
      <c r="E42" s="436">
        <v>23100</v>
      </c>
      <c r="F42" s="436">
        <v>28500</v>
      </c>
      <c r="G42" s="436">
        <v>26500</v>
      </c>
      <c r="H42" s="436">
        <v>27600</v>
      </c>
      <c r="I42" s="436">
        <v>29600</v>
      </c>
      <c r="J42" s="436">
        <v>25900</v>
      </c>
      <c r="K42" s="436">
        <v>23500</v>
      </c>
      <c r="L42" s="436">
        <v>44600</v>
      </c>
      <c r="M42" s="436">
        <v>30000</v>
      </c>
      <c r="N42" s="436">
        <v>46700</v>
      </c>
      <c r="O42" s="436">
        <v>30100</v>
      </c>
      <c r="P42" s="436">
        <v>24600</v>
      </c>
      <c r="Q42" s="378">
        <v>28100</v>
      </c>
    </row>
    <row r="43" spans="1:17" x14ac:dyDescent="0.15">
      <c r="A43" s="478"/>
      <c r="B43" s="361">
        <v>41</v>
      </c>
      <c r="C43" s="380" t="s">
        <v>66</v>
      </c>
      <c r="D43" s="377">
        <v>23600</v>
      </c>
      <c r="E43" s="436">
        <v>19800</v>
      </c>
      <c r="F43" s="436">
        <v>26700</v>
      </c>
      <c r="G43" s="436">
        <v>26000</v>
      </c>
      <c r="H43" s="436">
        <v>27100</v>
      </c>
      <c r="I43" s="436">
        <v>29200</v>
      </c>
      <c r="J43" s="436">
        <v>28600</v>
      </c>
      <c r="K43" s="436">
        <v>24200</v>
      </c>
      <c r="L43" s="436">
        <v>43200</v>
      </c>
      <c r="M43" s="436">
        <v>30400</v>
      </c>
      <c r="N43" s="436">
        <v>46900</v>
      </c>
      <c r="O43" s="436">
        <v>28800</v>
      </c>
      <c r="P43" s="436">
        <v>24100</v>
      </c>
      <c r="Q43" s="378">
        <v>28400</v>
      </c>
    </row>
    <row r="44" spans="1:17" x14ac:dyDescent="0.15">
      <c r="A44" s="478"/>
      <c r="B44" s="361">
        <v>42</v>
      </c>
      <c r="C44" s="380" t="s">
        <v>67</v>
      </c>
      <c r="D44" s="377">
        <v>24600</v>
      </c>
      <c r="E44" s="436">
        <v>20800</v>
      </c>
      <c r="F44" s="436">
        <v>26500</v>
      </c>
      <c r="G44" s="436">
        <v>24800</v>
      </c>
      <c r="H44" s="436">
        <v>26900</v>
      </c>
      <c r="I44" s="436">
        <v>28600</v>
      </c>
      <c r="J44" s="436">
        <v>24300</v>
      </c>
      <c r="K44" s="436">
        <v>22400</v>
      </c>
      <c r="L44" s="436">
        <v>44200</v>
      </c>
      <c r="M44" s="436">
        <v>30600</v>
      </c>
      <c r="N44" s="436">
        <v>46800</v>
      </c>
      <c r="O44" s="436">
        <v>28300</v>
      </c>
      <c r="P44" s="436">
        <v>24100</v>
      </c>
      <c r="Q44" s="378">
        <v>28500</v>
      </c>
    </row>
    <row r="45" spans="1:17" x14ac:dyDescent="0.15">
      <c r="A45" s="478"/>
      <c r="B45" s="361">
        <v>43</v>
      </c>
      <c r="C45" s="380" t="s">
        <v>68</v>
      </c>
      <c r="D45" s="377">
        <v>25100</v>
      </c>
      <c r="E45" s="436">
        <v>21300</v>
      </c>
      <c r="F45" s="436">
        <v>27800</v>
      </c>
      <c r="G45" s="436">
        <v>24400</v>
      </c>
      <c r="H45" s="436">
        <v>27800</v>
      </c>
      <c r="I45" s="436">
        <v>29100</v>
      </c>
      <c r="J45" s="436">
        <v>25400</v>
      </c>
      <c r="K45" s="436">
        <v>23100</v>
      </c>
      <c r="L45" s="436">
        <v>44600</v>
      </c>
      <c r="M45" s="436">
        <v>29400</v>
      </c>
      <c r="N45" s="436">
        <v>46800</v>
      </c>
      <c r="O45" s="436">
        <v>29400</v>
      </c>
      <c r="P45" s="436">
        <v>23600</v>
      </c>
      <c r="Q45" s="378">
        <v>28100</v>
      </c>
    </row>
    <row r="46" spans="1:17" x14ac:dyDescent="0.15">
      <c r="A46" s="478"/>
      <c r="B46" s="361">
        <v>44</v>
      </c>
      <c r="C46" s="380" t="s">
        <v>69</v>
      </c>
      <c r="D46" s="377">
        <v>23900</v>
      </c>
      <c r="E46" s="436">
        <v>19800</v>
      </c>
      <c r="F46" s="436">
        <v>27200</v>
      </c>
      <c r="G46" s="436">
        <v>24500</v>
      </c>
      <c r="H46" s="436">
        <v>27500</v>
      </c>
      <c r="I46" s="436">
        <v>28600</v>
      </c>
      <c r="J46" s="436">
        <v>27000</v>
      </c>
      <c r="K46" s="436">
        <v>25700</v>
      </c>
      <c r="L46" s="436">
        <v>43200</v>
      </c>
      <c r="M46" s="436">
        <v>29300</v>
      </c>
      <c r="N46" s="436">
        <v>46600</v>
      </c>
      <c r="O46" s="436">
        <v>29500</v>
      </c>
      <c r="P46" s="436">
        <v>24400</v>
      </c>
      <c r="Q46" s="378">
        <v>27900</v>
      </c>
    </row>
    <row r="47" spans="1:17" x14ac:dyDescent="0.15">
      <c r="A47" s="478"/>
      <c r="B47" s="361">
        <v>45</v>
      </c>
      <c r="C47" s="380" t="s">
        <v>70</v>
      </c>
      <c r="D47" s="377">
        <v>26700</v>
      </c>
      <c r="E47" s="436">
        <v>19300</v>
      </c>
      <c r="F47" s="436">
        <v>27500</v>
      </c>
      <c r="G47" s="436">
        <v>24100</v>
      </c>
      <c r="H47" s="436">
        <v>26000</v>
      </c>
      <c r="I47" s="436">
        <v>27800</v>
      </c>
      <c r="J47" s="436">
        <v>27100</v>
      </c>
      <c r="K47" s="436">
        <v>24000</v>
      </c>
      <c r="L47" s="436">
        <v>45100</v>
      </c>
      <c r="M47" s="436">
        <v>29300</v>
      </c>
      <c r="N47" s="436">
        <v>46700</v>
      </c>
      <c r="O47" s="436">
        <v>30100</v>
      </c>
      <c r="P47" s="436">
        <v>23300</v>
      </c>
      <c r="Q47" s="378">
        <v>27900</v>
      </c>
    </row>
    <row r="48" spans="1:17" ht="14.25" thickBot="1" x14ac:dyDescent="0.2">
      <c r="A48" s="480"/>
      <c r="B48" s="375">
        <v>46</v>
      </c>
      <c r="C48" s="381" t="s">
        <v>71</v>
      </c>
      <c r="D48" s="377">
        <v>29200</v>
      </c>
      <c r="E48" s="436">
        <v>20800</v>
      </c>
      <c r="F48" s="436">
        <v>27900</v>
      </c>
      <c r="G48" s="436">
        <v>24600</v>
      </c>
      <c r="H48" s="436">
        <v>27300</v>
      </c>
      <c r="I48" s="436">
        <v>28800</v>
      </c>
      <c r="J48" s="436">
        <v>29800</v>
      </c>
      <c r="K48" s="436">
        <v>27300</v>
      </c>
      <c r="L48" s="436">
        <v>44800</v>
      </c>
      <c r="M48" s="436">
        <v>29600</v>
      </c>
      <c r="N48" s="436">
        <v>46500</v>
      </c>
      <c r="O48" s="436">
        <v>32400</v>
      </c>
      <c r="P48" s="436">
        <v>23600</v>
      </c>
      <c r="Q48" s="378">
        <v>27700</v>
      </c>
    </row>
    <row r="49" spans="1:17" ht="14.25" thickBot="1" x14ac:dyDescent="0.2">
      <c r="A49" s="382" t="s">
        <v>72</v>
      </c>
      <c r="B49" s="375">
        <v>47</v>
      </c>
      <c r="C49" s="381" t="s">
        <v>73</v>
      </c>
      <c r="D49" s="440">
        <v>26200</v>
      </c>
      <c r="E49" s="441">
        <v>22300</v>
      </c>
      <c r="F49" s="441">
        <v>33300</v>
      </c>
      <c r="G49" s="441">
        <v>21600</v>
      </c>
      <c r="H49" s="441">
        <v>30500</v>
      </c>
      <c r="I49" s="441">
        <v>28700</v>
      </c>
      <c r="J49" s="441">
        <v>29700</v>
      </c>
      <c r="K49" s="441">
        <v>27500</v>
      </c>
      <c r="L49" s="441">
        <v>34200</v>
      </c>
      <c r="M49" s="441">
        <v>26500</v>
      </c>
      <c r="N49" s="441">
        <v>43800</v>
      </c>
      <c r="O49" s="441">
        <v>31600</v>
      </c>
      <c r="P49" s="441">
        <v>21800</v>
      </c>
      <c r="Q49" s="442">
        <v>24500</v>
      </c>
    </row>
    <row r="51" spans="1:17" x14ac:dyDescent="0.15">
      <c r="B51">
        <f>条件入力!D32</f>
        <v>1</v>
      </c>
      <c r="C51" t="str">
        <f>IF(B51="","",VLOOKUP(B51,B3:C49,2))</f>
        <v>北海道</v>
      </c>
      <c r="D51">
        <f>IF(B51="","",VLOOKUP(B51,B3:D49,3))</f>
        <v>25300</v>
      </c>
      <c r="E51">
        <f>IF(B51="","",VLOOKUP(B51,B3:E49,4))</f>
        <v>20900</v>
      </c>
      <c r="F51">
        <f>IF(B51="","",VLOOKUP(B51,B3:F49,5))</f>
        <v>28600</v>
      </c>
      <c r="G51">
        <f>IF(B51="","",VLOOKUP(B51,B3:G49,6))</f>
        <v>27600</v>
      </c>
      <c r="H51">
        <f>IF(B51="","",VLOOKUP(B51,B3:H49,7))</f>
        <v>29600</v>
      </c>
      <c r="I51">
        <f>IF(B51="","",VLOOKUP(B51,B3:I49,8))</f>
        <v>31100</v>
      </c>
      <c r="J51">
        <f>IF(B51="","",VLOOKUP(B51,B3:J49,9))</f>
        <v>25900</v>
      </c>
      <c r="K51">
        <f>IF(B51="","",VLOOKUP(B51,B3:K49,10))</f>
        <v>21500</v>
      </c>
      <c r="L51">
        <f>IF(B51="","",VLOOKUP(B51,B3:L49,11))</f>
        <v>45700</v>
      </c>
      <c r="M51">
        <f>IF(B51="","",VLOOKUP(B51,B3:M49,12))</f>
        <v>33700</v>
      </c>
      <c r="N51">
        <f>IF(B51="","",VLOOKUP(B51,B3:N49,13))</f>
        <v>44600</v>
      </c>
      <c r="O51">
        <f>IF(B51="","",VLOOKUP(B51,B3:O49,14))</f>
        <v>27800</v>
      </c>
      <c r="P51">
        <f>IF(B51="","",VLOOKUP(B51,B3:P49,15))</f>
        <v>25500</v>
      </c>
      <c r="Q51">
        <f>IF(B51="","",VLOOKUP(B51,B3:Q49,16))</f>
        <v>28500</v>
      </c>
    </row>
    <row r="54" spans="1:17" x14ac:dyDescent="0.15">
      <c r="D54" s="361"/>
      <c r="E54" s="361"/>
      <c r="F54" s="361"/>
      <c r="G54" s="361"/>
      <c r="H54" s="361"/>
      <c r="I54" s="361"/>
      <c r="J54" s="361"/>
      <c r="K54" s="361"/>
      <c r="L54" s="361"/>
      <c r="M54" s="361"/>
      <c r="N54" s="361"/>
      <c r="O54" s="361"/>
      <c r="P54" s="361"/>
      <c r="Q54" s="361"/>
    </row>
    <row r="55" spans="1:17" x14ac:dyDescent="0.15">
      <c r="D55" s="361"/>
      <c r="E55" s="361"/>
      <c r="F55" s="361"/>
      <c r="G55" s="361"/>
      <c r="H55" s="361"/>
      <c r="I55" s="361"/>
      <c r="J55" s="361"/>
      <c r="K55" s="361"/>
      <c r="L55" s="361"/>
      <c r="M55" s="361"/>
      <c r="N55" s="361"/>
      <c r="O55" s="361"/>
      <c r="P55" s="361"/>
      <c r="Q55" s="361"/>
    </row>
    <row r="57" spans="1:17" x14ac:dyDescent="0.15">
      <c r="D57" s="362"/>
      <c r="E57" s="362"/>
      <c r="F57" s="362"/>
      <c r="G57" s="362"/>
      <c r="H57" s="362"/>
      <c r="I57" s="362"/>
      <c r="J57" s="362"/>
      <c r="K57" s="362"/>
      <c r="L57" s="362"/>
      <c r="M57" s="362"/>
      <c r="N57" s="362"/>
      <c r="O57" s="362"/>
      <c r="P57" s="362"/>
      <c r="Q57" s="362"/>
    </row>
  </sheetData>
  <mergeCells count="8">
    <mergeCell ref="A38:A41"/>
    <mergeCell ref="A42:A48"/>
    <mergeCell ref="A4:A9"/>
    <mergeCell ref="A10:A18"/>
    <mergeCell ref="A19:A21"/>
    <mergeCell ref="A22:A25"/>
    <mergeCell ref="A26:A32"/>
    <mergeCell ref="A33:A37"/>
  </mergeCells>
  <phoneticPr fontId="2"/>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A581D-7479-4FD4-B145-E4E8CC497BA8}">
  <sheetPr codeName="Sheet1">
    <tabColor rgb="FFFFFF00"/>
  </sheetPr>
  <dimension ref="A1:CJ49"/>
  <sheetViews>
    <sheetView tabSelected="1" zoomScaleNormal="100" workbookViewId="0">
      <selection activeCell="D9" sqref="D9"/>
    </sheetView>
  </sheetViews>
  <sheetFormatPr defaultRowHeight="13.5" x14ac:dyDescent="0.15"/>
  <cols>
    <col min="1" max="1" width="6.25" customWidth="1"/>
    <col min="2" max="2" width="1.875" customWidth="1"/>
    <col min="3" max="3" width="3.25" customWidth="1"/>
    <col min="4" max="4" width="4.125" customWidth="1"/>
    <col min="5" max="5" width="3.25" customWidth="1"/>
    <col min="6" max="6" width="4.875" customWidth="1"/>
    <col min="7" max="8" width="3.25" customWidth="1"/>
    <col min="9" max="9" width="4.125" customWidth="1"/>
    <col min="10" max="10" width="3.75" customWidth="1"/>
    <col min="11" max="11" width="6.625" customWidth="1"/>
    <col min="12" max="12" width="3.75" customWidth="1"/>
    <col min="13" max="13" width="3.25" customWidth="1"/>
    <col min="14" max="14" width="4" customWidth="1"/>
    <col min="15" max="15" width="3.25" customWidth="1"/>
    <col min="16" max="17" width="3.75" customWidth="1"/>
    <col min="18" max="18" width="3.375" customWidth="1"/>
    <col min="19" max="19" width="3" customWidth="1"/>
    <col min="20" max="20" width="3.125" customWidth="1"/>
    <col min="21" max="21" width="2.75" customWidth="1"/>
    <col min="22" max="22" width="3.125" customWidth="1"/>
    <col min="23" max="23" width="3.875" customWidth="1"/>
    <col min="24" max="24" width="2.75" customWidth="1"/>
    <col min="25" max="25" width="3.375" customWidth="1"/>
    <col min="26" max="26" width="2.25" customWidth="1"/>
    <col min="27" max="27" width="4.375" customWidth="1"/>
    <col min="28" max="28" width="6.875" bestFit="1" customWidth="1"/>
    <col min="29" max="29" width="8.875" customWidth="1"/>
    <col min="30" max="30" width="4" customWidth="1"/>
    <col min="31" max="31" width="6" customWidth="1"/>
    <col min="32" max="32" width="3.25" customWidth="1"/>
    <col min="33" max="33" width="8.375" customWidth="1"/>
    <col min="34" max="89" width="1.75" customWidth="1"/>
  </cols>
  <sheetData>
    <row r="1" spans="1:88" ht="14.25" x14ac:dyDescent="0.15">
      <c r="A1" s="403" t="s">
        <v>74</v>
      </c>
      <c r="K1" s="19"/>
      <c r="L1" s="537" t="s">
        <v>75</v>
      </c>
      <c r="M1" s="538"/>
      <c r="N1" s="539"/>
      <c r="O1" s="560" t="s">
        <v>76</v>
      </c>
      <c r="P1" s="561"/>
      <c r="Q1" s="561"/>
      <c r="R1" s="562"/>
      <c r="S1" s="563" t="s">
        <v>77</v>
      </c>
      <c r="T1" s="566"/>
      <c r="U1" s="567"/>
      <c r="V1" s="563" t="s">
        <v>78</v>
      </c>
      <c r="W1" s="564"/>
      <c r="X1" s="564"/>
      <c r="Y1" s="565"/>
      <c r="Z1" s="544" t="s">
        <v>79</v>
      </c>
      <c r="AA1" s="555"/>
      <c r="AB1" s="54" t="s">
        <v>80</v>
      </c>
      <c r="AC1" s="112" t="s">
        <v>81</v>
      </c>
      <c r="AD1" s="543" t="s">
        <v>82</v>
      </c>
      <c r="AE1" s="544"/>
      <c r="AF1" s="545"/>
      <c r="AG1" s="36"/>
      <c r="AH1" s="55" t="s">
        <v>1406</v>
      </c>
    </row>
    <row r="2" spans="1:88" x14ac:dyDescent="0.15">
      <c r="A2" s="402" t="s">
        <v>83</v>
      </c>
      <c r="K2" s="19"/>
      <c r="L2" s="540" t="s">
        <v>84</v>
      </c>
      <c r="M2" s="541"/>
      <c r="N2" s="542"/>
      <c r="O2" s="537" t="s">
        <v>85</v>
      </c>
      <c r="P2" s="539"/>
      <c r="Q2" s="553" t="s">
        <v>86</v>
      </c>
      <c r="R2" s="554"/>
      <c r="S2" s="537" t="s">
        <v>87</v>
      </c>
      <c r="T2" s="538"/>
      <c r="U2" s="539"/>
      <c r="V2" s="449" t="s">
        <v>88</v>
      </c>
      <c r="W2" s="136" t="s">
        <v>89</v>
      </c>
      <c r="X2" s="556" t="s">
        <v>90</v>
      </c>
      <c r="Y2" s="557"/>
      <c r="Z2" s="558" t="s">
        <v>91</v>
      </c>
      <c r="AA2" s="559"/>
      <c r="AB2" s="70" t="s">
        <v>92</v>
      </c>
      <c r="AC2" s="113" t="s">
        <v>93</v>
      </c>
      <c r="AD2" s="546"/>
      <c r="AE2" s="547"/>
      <c r="AF2" s="548"/>
      <c r="AG2" s="36"/>
      <c r="AH2" s="404"/>
      <c r="AI2" s="404" t="s">
        <v>94</v>
      </c>
      <c r="AJ2" s="404"/>
      <c r="AK2" s="404"/>
      <c r="AL2" s="404"/>
      <c r="AM2" s="404"/>
      <c r="AN2" s="404"/>
      <c r="AO2" s="404"/>
      <c r="AP2" s="404"/>
      <c r="AQ2" s="404"/>
      <c r="AR2" s="404"/>
      <c r="AS2" s="404"/>
      <c r="AT2" s="404"/>
      <c r="AU2" s="404"/>
      <c r="AV2" s="404"/>
      <c r="AW2" s="404"/>
      <c r="AX2" s="404"/>
      <c r="AY2" s="404"/>
      <c r="AZ2" s="404"/>
      <c r="BA2" s="404"/>
      <c r="BB2" s="404"/>
      <c r="BC2" s="404"/>
      <c r="BD2" s="404"/>
      <c r="BE2" s="404"/>
      <c r="BF2" s="404"/>
      <c r="BG2" s="404"/>
      <c r="BH2" s="404"/>
      <c r="BI2" s="404"/>
      <c r="BJ2" s="404"/>
      <c r="BK2" s="404"/>
      <c r="BL2" s="404"/>
      <c r="BM2" s="404"/>
      <c r="BN2" s="404"/>
      <c r="BO2" s="404"/>
      <c r="BP2" s="404"/>
      <c r="BQ2" s="404"/>
      <c r="BR2" s="404"/>
      <c r="BS2" s="404"/>
      <c r="BT2" s="404"/>
      <c r="BU2" s="404"/>
      <c r="BV2" s="404"/>
      <c r="BW2" s="404"/>
      <c r="BX2" s="404"/>
      <c r="BY2" s="404"/>
      <c r="BZ2" s="404"/>
      <c r="CA2" s="404"/>
      <c r="CB2" s="404"/>
      <c r="CC2" s="404"/>
      <c r="CD2" s="404"/>
      <c r="CE2" s="404"/>
      <c r="CF2" s="404"/>
      <c r="CG2" s="20"/>
      <c r="CH2" s="20"/>
      <c r="CI2" s="20"/>
      <c r="CJ2" s="20"/>
    </row>
    <row r="3" spans="1:88" x14ac:dyDescent="0.15">
      <c r="A3" s="402" t="s">
        <v>95</v>
      </c>
      <c r="K3" s="19"/>
      <c r="L3" s="71" t="s">
        <v>96</v>
      </c>
      <c r="M3" s="568">
        <v>100</v>
      </c>
      <c r="N3" s="569"/>
      <c r="O3" s="423">
        <v>2</v>
      </c>
      <c r="P3" s="72" t="str">
        <f>IF(O3="","",VLOOKUP(O3,機械単価!B15:'機械単価'!C26,2,FALSE))</f>
        <v>B</v>
      </c>
      <c r="Q3" s="424">
        <v>30</v>
      </c>
      <c r="R3" s="73" t="s">
        <v>97</v>
      </c>
      <c r="S3" s="74">
        <v>1</v>
      </c>
      <c r="T3" s="533" t="s">
        <v>98</v>
      </c>
      <c r="U3" s="534"/>
      <c r="V3" s="155"/>
      <c r="W3" s="75" t="str">
        <f>IF(V3=1,"有","無")</f>
        <v>無</v>
      </c>
      <c r="X3" s="76"/>
      <c r="Y3" s="77" t="s">
        <v>99</v>
      </c>
      <c r="Z3" s="531">
        <f>IF(O3="","",VLOOKUP(O3,機械単価!B15:'機械単価'!D26,3,FALSE))</f>
        <v>149807</v>
      </c>
      <c r="AA3" s="532"/>
      <c r="AB3" s="78">
        <f>供用日!L5</f>
        <v>24</v>
      </c>
      <c r="AC3" s="165">
        <f>IF(AB3&gt;0,Z3*AB3,0)</f>
        <v>3595368</v>
      </c>
      <c r="AD3" s="90" t="s">
        <v>100</v>
      </c>
      <c r="AE3" s="549">
        <f>IF(機械単価!D55=0,0,IF(機械単価!D55&lt;100,機械単価!D44*100,機械単価!D44*機械単価!D55))</f>
        <v>0</v>
      </c>
      <c r="AF3" s="550"/>
      <c r="AG3" s="58"/>
      <c r="AH3" s="404" t="s">
        <v>101</v>
      </c>
      <c r="AI3" s="404"/>
      <c r="AJ3" s="404"/>
      <c r="AK3" s="404"/>
      <c r="AL3" s="404"/>
      <c r="AM3" s="404"/>
      <c r="AN3" s="404"/>
      <c r="AO3" s="404"/>
      <c r="AP3" s="404"/>
      <c r="AQ3" s="404"/>
      <c r="AR3" s="404"/>
      <c r="AS3" s="404"/>
      <c r="AT3" s="404"/>
      <c r="AU3" s="404"/>
      <c r="AV3" s="404"/>
      <c r="AW3" s="404"/>
      <c r="AX3" s="404"/>
      <c r="AY3" s="404"/>
      <c r="AZ3" s="404"/>
      <c r="BA3" s="404"/>
      <c r="BB3" s="404"/>
      <c r="BC3" s="404"/>
      <c r="BD3" s="404"/>
      <c r="BE3" s="404"/>
      <c r="BF3" s="404"/>
      <c r="BG3" s="404"/>
      <c r="BH3" s="404"/>
      <c r="BI3" s="404"/>
      <c r="BJ3" s="404"/>
      <c r="BK3" s="404"/>
      <c r="BL3" s="404"/>
      <c r="BM3" s="404"/>
      <c r="BN3" s="404"/>
      <c r="BO3" s="404"/>
      <c r="BP3" s="404"/>
      <c r="BQ3" s="404"/>
      <c r="BR3" s="404"/>
      <c r="BS3" s="404"/>
      <c r="BT3" s="404"/>
      <c r="BU3" s="404"/>
      <c r="BV3" s="404"/>
      <c r="BW3" s="404"/>
      <c r="BX3" s="404"/>
      <c r="BY3" s="404"/>
      <c r="BZ3" s="404"/>
      <c r="CA3" s="404"/>
      <c r="CB3" s="404"/>
      <c r="CC3" s="404"/>
      <c r="CD3" s="404"/>
      <c r="CE3" s="404"/>
      <c r="CF3" s="404"/>
      <c r="CG3" s="20"/>
      <c r="CH3" s="20"/>
      <c r="CI3" s="20"/>
      <c r="CJ3" s="20"/>
    </row>
    <row r="4" spans="1:88" x14ac:dyDescent="0.15">
      <c r="A4" s="402" t="s">
        <v>102</v>
      </c>
      <c r="K4" s="19"/>
      <c r="L4" s="21" t="s">
        <v>103</v>
      </c>
      <c r="M4" s="570"/>
      <c r="N4" s="571"/>
      <c r="O4" s="142"/>
      <c r="P4" s="22" t="str">
        <f>IF(O4="","",VLOOKUP(O4,機械単価!B15:'機械単価'!C26,2,FALSE))</f>
        <v/>
      </c>
      <c r="Q4" s="146"/>
      <c r="R4" s="23" t="s">
        <v>97</v>
      </c>
      <c r="S4" s="24"/>
      <c r="T4" s="551" t="str">
        <f>IF(S4=1,"移設",IF(S4=2,"両発進",""))</f>
        <v/>
      </c>
      <c r="U4" s="552"/>
      <c r="V4" s="151"/>
      <c r="W4" s="66" t="str">
        <f>IF(V4=1,"有","無")</f>
        <v>無</v>
      </c>
      <c r="X4" s="157"/>
      <c r="Y4" s="67" t="str">
        <f>IF(X4=1,"有","")</f>
        <v/>
      </c>
      <c r="Z4" s="535" t="str">
        <f>IF(O4="","",VLOOKUP(O4,機械単価!B15:'機械単価'!D26,3,FALSE))</f>
        <v/>
      </c>
      <c r="AA4" s="536"/>
      <c r="AB4" s="62">
        <f>供用日!L6</f>
        <v>0</v>
      </c>
      <c r="AC4" s="163">
        <f t="shared" ref="AC4:AC17" si="0">IF(AB4&gt;0,Z4*AB4,0)</f>
        <v>0</v>
      </c>
      <c r="AD4" s="91" t="s">
        <v>104</v>
      </c>
      <c r="AE4" s="519">
        <f>IF(機械単価!D56=0,0,IF(機械単価!D56&lt;100,機械単価!D45*100,機械単価!D45*機械単価!D56))</f>
        <v>0</v>
      </c>
      <c r="AF4" s="520"/>
      <c r="AG4" s="58"/>
      <c r="AH4" s="487" t="s">
        <v>85</v>
      </c>
      <c r="AI4" s="488"/>
      <c r="AJ4" s="488"/>
      <c r="AK4" s="488"/>
      <c r="AL4" s="488"/>
      <c r="AM4" s="489"/>
      <c r="AN4" s="487" t="s">
        <v>105</v>
      </c>
      <c r="AO4" s="488"/>
      <c r="AP4" s="488"/>
      <c r="AQ4" s="488"/>
      <c r="AR4" s="488"/>
      <c r="AS4" s="488"/>
      <c r="AT4" s="488"/>
      <c r="AU4" s="488"/>
      <c r="AV4" s="488"/>
      <c r="AW4" s="488"/>
      <c r="AX4" s="488"/>
      <c r="AY4" s="488"/>
      <c r="AZ4" s="489"/>
      <c r="BA4" s="487" t="s">
        <v>106</v>
      </c>
      <c r="BB4" s="488"/>
      <c r="BC4" s="488"/>
      <c r="BD4" s="488"/>
      <c r="BE4" s="488"/>
      <c r="BF4" s="488"/>
      <c r="BG4" s="488"/>
      <c r="BH4" s="488"/>
      <c r="BI4" s="488"/>
      <c r="BJ4" s="488"/>
      <c r="BK4" s="488"/>
      <c r="BL4" s="488"/>
      <c r="BM4" s="488"/>
      <c r="BN4" s="488"/>
      <c r="BO4" s="488"/>
      <c r="BP4" s="488"/>
      <c r="BQ4" s="488"/>
      <c r="BR4" s="488"/>
      <c r="BS4" s="488"/>
      <c r="BT4" s="488"/>
      <c r="BU4" s="488"/>
      <c r="BV4" s="488"/>
      <c r="BW4" s="489"/>
      <c r="BX4" s="487" t="s">
        <v>107</v>
      </c>
      <c r="BY4" s="488"/>
      <c r="BZ4" s="488"/>
      <c r="CA4" s="488"/>
      <c r="CB4" s="488"/>
      <c r="CC4" s="488"/>
      <c r="CD4" s="488"/>
      <c r="CE4" s="488"/>
      <c r="CF4" s="488"/>
      <c r="CG4" s="488"/>
      <c r="CH4" s="488"/>
      <c r="CI4" s="488"/>
      <c r="CJ4" s="489"/>
    </row>
    <row r="5" spans="1:88" x14ac:dyDescent="0.15">
      <c r="A5" s="402" t="s">
        <v>108</v>
      </c>
      <c r="K5" s="19"/>
      <c r="L5" s="21" t="s">
        <v>109</v>
      </c>
      <c r="M5" s="570"/>
      <c r="N5" s="571"/>
      <c r="O5" s="142"/>
      <c r="P5" s="22" t="str">
        <f>IF(O5="","",VLOOKUP(O5,機械単価!B15:'機械単価'!C26,2,FALSE))</f>
        <v/>
      </c>
      <c r="Q5" s="146"/>
      <c r="R5" s="23" t="s">
        <v>97</v>
      </c>
      <c r="S5" s="24"/>
      <c r="T5" s="551" t="str">
        <f t="shared" ref="T5:T17" si="1">IF(S5=1,"移設",IF(S5=2,"両発進",""))</f>
        <v/>
      </c>
      <c r="U5" s="552"/>
      <c r="V5" s="151"/>
      <c r="W5" s="66" t="str">
        <f t="shared" ref="W5:W17" si="2">IF(V5=1,"有","無")</f>
        <v>無</v>
      </c>
      <c r="X5" s="157"/>
      <c r="Y5" s="67" t="str">
        <f t="shared" ref="Y5:Y16" si="3">IF(X5=1,"有","")</f>
        <v/>
      </c>
      <c r="Z5" s="535" t="str">
        <f>IF(O5="","",VLOOKUP(O5,機械単価!B15:'機械単価'!D26,3,FALSE))</f>
        <v/>
      </c>
      <c r="AA5" s="536"/>
      <c r="AB5" s="62">
        <f>供用日!L7</f>
        <v>0</v>
      </c>
      <c r="AC5" s="163">
        <f t="shared" si="0"/>
        <v>0</v>
      </c>
      <c r="AD5" s="91" t="s">
        <v>110</v>
      </c>
      <c r="AE5" s="519">
        <f>IF(機械単価!D57=0,0,IF(機械単価!D57&lt;100,機械単価!D46*100,機械単価!D46*機械単価!D57))</f>
        <v>0</v>
      </c>
      <c r="AF5" s="520"/>
      <c r="AG5" s="58"/>
      <c r="AH5" s="493"/>
      <c r="AI5" s="494"/>
      <c r="AJ5" s="494"/>
      <c r="AK5" s="494"/>
      <c r="AL5" s="494"/>
      <c r="AM5" s="495"/>
      <c r="AN5" s="493"/>
      <c r="AO5" s="494"/>
      <c r="AP5" s="494"/>
      <c r="AQ5" s="494"/>
      <c r="AR5" s="494"/>
      <c r="AS5" s="494"/>
      <c r="AT5" s="494"/>
      <c r="AU5" s="494"/>
      <c r="AV5" s="494"/>
      <c r="AW5" s="494"/>
      <c r="AX5" s="494"/>
      <c r="AY5" s="494"/>
      <c r="AZ5" s="495"/>
      <c r="BA5" s="493" t="s">
        <v>111</v>
      </c>
      <c r="BB5" s="494"/>
      <c r="BC5" s="494"/>
      <c r="BD5" s="494"/>
      <c r="BE5" s="494"/>
      <c r="BF5" s="494"/>
      <c r="BG5" s="494"/>
      <c r="BH5" s="494"/>
      <c r="BI5" s="494"/>
      <c r="BJ5" s="494"/>
      <c r="BK5" s="494"/>
      <c r="BL5" s="494"/>
      <c r="BM5" s="494"/>
      <c r="BN5" s="494"/>
      <c r="BO5" s="494"/>
      <c r="BP5" s="494"/>
      <c r="BQ5" s="494"/>
      <c r="BR5" s="494"/>
      <c r="BS5" s="494"/>
      <c r="BT5" s="494"/>
      <c r="BU5" s="494"/>
      <c r="BV5" s="494"/>
      <c r="BW5" s="495"/>
      <c r="BX5" s="493"/>
      <c r="BY5" s="494"/>
      <c r="BZ5" s="494"/>
      <c r="CA5" s="494"/>
      <c r="CB5" s="494"/>
      <c r="CC5" s="494"/>
      <c r="CD5" s="494"/>
      <c r="CE5" s="494"/>
      <c r="CF5" s="494"/>
      <c r="CG5" s="494"/>
      <c r="CH5" s="494"/>
      <c r="CI5" s="494"/>
      <c r="CJ5" s="495"/>
    </row>
    <row r="6" spans="1:88" x14ac:dyDescent="0.15">
      <c r="A6" s="648" t="s">
        <v>112</v>
      </c>
      <c r="B6" s="648"/>
      <c r="C6" s="648"/>
      <c r="D6" s="641"/>
      <c r="E6" s="642"/>
      <c r="F6" s="642"/>
      <c r="G6" s="642"/>
      <c r="H6" s="642"/>
      <c r="I6" s="642"/>
      <c r="J6" s="643"/>
      <c r="K6" s="19"/>
      <c r="L6" s="21" t="s">
        <v>113</v>
      </c>
      <c r="M6" s="570"/>
      <c r="N6" s="571"/>
      <c r="O6" s="142"/>
      <c r="P6" s="22" t="str">
        <f>IF(O6="","",VLOOKUP(O6,機械単価!B15:'機械単価'!C26,2,FALSE))</f>
        <v/>
      </c>
      <c r="Q6" s="146"/>
      <c r="R6" s="23" t="s">
        <v>97</v>
      </c>
      <c r="S6" s="24"/>
      <c r="T6" s="551" t="str">
        <f t="shared" si="1"/>
        <v/>
      </c>
      <c r="U6" s="552"/>
      <c r="V6" s="151"/>
      <c r="W6" s="66" t="str">
        <f t="shared" si="2"/>
        <v>無</v>
      </c>
      <c r="X6" s="157"/>
      <c r="Y6" s="67" t="str">
        <f t="shared" si="3"/>
        <v/>
      </c>
      <c r="Z6" s="535" t="str">
        <f>IF(O6="","",VLOOKUP(O6,機械単価!B15:'機械単価'!D26,3,FALSE))</f>
        <v/>
      </c>
      <c r="AA6" s="536"/>
      <c r="AB6" s="62">
        <f>供用日!L8</f>
        <v>0</v>
      </c>
      <c r="AC6" s="163">
        <f t="shared" si="0"/>
        <v>0</v>
      </c>
      <c r="AD6" s="91" t="s">
        <v>114</v>
      </c>
      <c r="AE6" s="519">
        <f>IF(機械単価!D58=0,0,IF(機械単価!D58&lt;100,機械単価!D47*100,機械単価!D47*機械単価!D58))</f>
        <v>0</v>
      </c>
      <c r="AF6" s="520"/>
      <c r="AG6" s="58"/>
      <c r="AH6" s="487" t="s">
        <v>115</v>
      </c>
      <c r="AI6" s="488"/>
      <c r="AJ6" s="488"/>
      <c r="AK6" s="488"/>
      <c r="AL6" s="488"/>
      <c r="AM6" s="489"/>
      <c r="AN6" s="487" t="s">
        <v>116</v>
      </c>
      <c r="AO6" s="488"/>
      <c r="AP6" s="488"/>
      <c r="AQ6" s="488"/>
      <c r="AR6" s="488"/>
      <c r="AS6" s="488"/>
      <c r="AT6" s="488"/>
      <c r="AU6" s="488"/>
      <c r="AV6" s="488"/>
      <c r="AW6" s="488"/>
      <c r="AX6" s="488"/>
      <c r="AY6" s="488"/>
      <c r="AZ6" s="489"/>
      <c r="BA6" s="513" t="s">
        <v>117</v>
      </c>
      <c r="BB6" s="514"/>
      <c r="BC6" s="514"/>
      <c r="BD6" s="514"/>
      <c r="BE6" s="514"/>
      <c r="BF6" s="517" t="s">
        <v>118</v>
      </c>
      <c r="BG6" s="517"/>
      <c r="BH6" s="517"/>
      <c r="BI6" s="517"/>
      <c r="BJ6" s="517"/>
      <c r="BK6" s="517"/>
      <c r="BL6" s="517"/>
      <c r="BM6" s="517"/>
      <c r="BN6" s="517"/>
      <c r="BO6" s="517"/>
      <c r="BP6" s="517"/>
      <c r="BQ6" s="517"/>
      <c r="BR6" s="517"/>
      <c r="BS6" s="517"/>
      <c r="BT6" s="517"/>
      <c r="BU6" s="517"/>
      <c r="BV6" s="517"/>
      <c r="BW6" s="518"/>
      <c r="BX6" s="487"/>
      <c r="BY6" s="488"/>
      <c r="BZ6" s="488"/>
      <c r="CA6" s="488"/>
      <c r="CB6" s="488"/>
      <c r="CC6" s="488"/>
      <c r="CD6" s="488"/>
      <c r="CE6" s="488"/>
      <c r="CF6" s="488"/>
      <c r="CG6" s="488"/>
      <c r="CH6" s="488"/>
      <c r="CI6" s="488"/>
      <c r="CJ6" s="489"/>
    </row>
    <row r="7" spans="1:88" x14ac:dyDescent="0.15">
      <c r="A7" s="647" t="s">
        <v>119</v>
      </c>
      <c r="B7" s="647"/>
      <c r="C7" s="647"/>
      <c r="D7" s="644" t="s">
        <v>120</v>
      </c>
      <c r="E7" s="645"/>
      <c r="F7" s="645"/>
      <c r="G7" s="645"/>
      <c r="H7" s="645"/>
      <c r="I7" s="645"/>
      <c r="J7" s="646"/>
      <c r="K7" s="19"/>
      <c r="L7" s="21" t="s">
        <v>121</v>
      </c>
      <c r="M7" s="570"/>
      <c r="N7" s="571"/>
      <c r="O7" s="142"/>
      <c r="P7" s="22" t="str">
        <f>IF(O7="","",VLOOKUP(O7,機械単価!B15:'機械単価'!C26,2,FALSE))</f>
        <v/>
      </c>
      <c r="Q7" s="146"/>
      <c r="R7" s="23" t="s">
        <v>97</v>
      </c>
      <c r="S7" s="24"/>
      <c r="T7" s="551" t="str">
        <f t="shared" si="1"/>
        <v/>
      </c>
      <c r="U7" s="552"/>
      <c r="V7" s="151"/>
      <c r="W7" s="66" t="str">
        <f t="shared" si="2"/>
        <v>無</v>
      </c>
      <c r="X7" s="157"/>
      <c r="Y7" s="67" t="str">
        <f t="shared" si="3"/>
        <v/>
      </c>
      <c r="Z7" s="535" t="str">
        <f>IF(O7="","",VLOOKUP(O7,機械単価!B15:'機械単価'!D26,3,FALSE))</f>
        <v/>
      </c>
      <c r="AA7" s="536"/>
      <c r="AB7" s="62">
        <f>供用日!L9</f>
        <v>0</v>
      </c>
      <c r="AC7" s="163">
        <f t="shared" si="0"/>
        <v>0</v>
      </c>
      <c r="AD7" s="178" t="s">
        <v>122</v>
      </c>
      <c r="AE7" s="529">
        <f>IF(機械単価!D59=0,0,IF(機械単価!D59&lt;100,機械単価!D48*100,機械単価!D48*機械単価!D59))</f>
        <v>0</v>
      </c>
      <c r="AF7" s="530"/>
      <c r="AG7" s="58"/>
      <c r="AH7" s="493"/>
      <c r="AI7" s="494"/>
      <c r="AJ7" s="494"/>
      <c r="AK7" s="494"/>
      <c r="AL7" s="494"/>
      <c r="AM7" s="495"/>
      <c r="AN7" s="493"/>
      <c r="AO7" s="494"/>
      <c r="AP7" s="494"/>
      <c r="AQ7" s="494"/>
      <c r="AR7" s="494"/>
      <c r="AS7" s="494"/>
      <c r="AT7" s="494"/>
      <c r="AU7" s="494"/>
      <c r="AV7" s="494"/>
      <c r="AW7" s="494"/>
      <c r="AX7" s="494"/>
      <c r="AY7" s="494"/>
      <c r="AZ7" s="495"/>
      <c r="BA7" s="515" t="s">
        <v>123</v>
      </c>
      <c r="BB7" s="516"/>
      <c r="BC7" s="516"/>
      <c r="BD7" s="516"/>
      <c r="BE7" s="516"/>
      <c r="BF7" s="499" t="s">
        <v>124</v>
      </c>
      <c r="BG7" s="499"/>
      <c r="BH7" s="499"/>
      <c r="BI7" s="499"/>
      <c r="BJ7" s="499"/>
      <c r="BK7" s="499"/>
      <c r="BL7" s="499"/>
      <c r="BM7" s="499"/>
      <c r="BN7" s="499"/>
      <c r="BO7" s="499"/>
      <c r="BP7" s="499"/>
      <c r="BQ7" s="499"/>
      <c r="BR7" s="499"/>
      <c r="BS7" s="499"/>
      <c r="BT7" s="499"/>
      <c r="BU7" s="499"/>
      <c r="BV7" s="499"/>
      <c r="BW7" s="500"/>
      <c r="BX7" s="493"/>
      <c r="BY7" s="494"/>
      <c r="BZ7" s="494"/>
      <c r="CA7" s="494"/>
      <c r="CB7" s="494"/>
      <c r="CC7" s="494"/>
      <c r="CD7" s="494"/>
      <c r="CE7" s="494"/>
      <c r="CF7" s="494"/>
      <c r="CG7" s="494"/>
      <c r="CH7" s="494"/>
      <c r="CI7" s="494"/>
      <c r="CJ7" s="495"/>
    </row>
    <row r="8" spans="1:88" x14ac:dyDescent="0.15">
      <c r="A8" s="636" t="s">
        <v>125</v>
      </c>
      <c r="B8" s="636"/>
      <c r="C8" s="637"/>
      <c r="D8" s="638">
        <v>400</v>
      </c>
      <c r="E8" s="639"/>
      <c r="F8" s="639"/>
      <c r="G8" s="640"/>
      <c r="H8" s="25" t="s">
        <v>126</v>
      </c>
      <c r="I8" s="20"/>
      <c r="J8" s="19"/>
      <c r="K8" s="19"/>
      <c r="L8" s="21" t="s">
        <v>127</v>
      </c>
      <c r="M8" s="570"/>
      <c r="N8" s="571"/>
      <c r="O8" s="142"/>
      <c r="P8" s="22" t="str">
        <f>IF(O8="","",VLOOKUP(O8,機械単価!B15:'機械単価'!C26,2,FALSE))</f>
        <v/>
      </c>
      <c r="Q8" s="146"/>
      <c r="R8" s="23" t="s">
        <v>97</v>
      </c>
      <c r="S8" s="24"/>
      <c r="T8" s="551" t="str">
        <f t="shared" si="1"/>
        <v/>
      </c>
      <c r="U8" s="552"/>
      <c r="V8" s="151"/>
      <c r="W8" s="66" t="str">
        <f t="shared" si="2"/>
        <v>無</v>
      </c>
      <c r="X8" s="157"/>
      <c r="Y8" s="67" t="str">
        <f t="shared" si="3"/>
        <v/>
      </c>
      <c r="Z8" s="535" t="str">
        <f>IF(O8="","",VLOOKUP(O8,機械単価!B15:'機械単価'!D26,3,FALSE))</f>
        <v/>
      </c>
      <c r="AA8" s="536"/>
      <c r="AB8" s="62">
        <f>供用日!L10</f>
        <v>0</v>
      </c>
      <c r="AC8" s="163">
        <f t="shared" si="0"/>
        <v>0</v>
      </c>
      <c r="AD8" s="91" t="s">
        <v>128</v>
      </c>
      <c r="AE8" s="519">
        <f>IF(機械単価!D60=0,0,IF(機械単価!D60&lt;100,機械単価!D49*100,機械単価!D49*機械単価!D60))</f>
        <v>0</v>
      </c>
      <c r="AF8" s="520"/>
      <c r="AG8" s="58"/>
      <c r="AH8" s="487" t="s">
        <v>129</v>
      </c>
      <c r="AI8" s="488"/>
      <c r="AJ8" s="488"/>
      <c r="AK8" s="488"/>
      <c r="AL8" s="488"/>
      <c r="AM8" s="489"/>
      <c r="AN8" s="487" t="s">
        <v>1398</v>
      </c>
      <c r="AO8" s="488"/>
      <c r="AP8" s="488"/>
      <c r="AQ8" s="488"/>
      <c r="AR8" s="488"/>
      <c r="AS8" s="488"/>
      <c r="AT8" s="488"/>
      <c r="AU8" s="488"/>
      <c r="AV8" s="488"/>
      <c r="AW8" s="488"/>
      <c r="AX8" s="488"/>
      <c r="AY8" s="488"/>
      <c r="AZ8" s="489"/>
      <c r="BA8" s="513" t="s">
        <v>117</v>
      </c>
      <c r="BB8" s="514"/>
      <c r="BC8" s="514"/>
      <c r="BD8" s="514"/>
      <c r="BE8" s="514"/>
      <c r="BF8" s="517" t="s">
        <v>130</v>
      </c>
      <c r="BG8" s="517"/>
      <c r="BH8" s="517"/>
      <c r="BI8" s="517"/>
      <c r="BJ8" s="517"/>
      <c r="BK8" s="517"/>
      <c r="BL8" s="517"/>
      <c r="BM8" s="517"/>
      <c r="BN8" s="517"/>
      <c r="BO8" s="517"/>
      <c r="BP8" s="517"/>
      <c r="BQ8" s="517"/>
      <c r="BR8" s="517"/>
      <c r="BS8" s="517"/>
      <c r="BT8" s="517"/>
      <c r="BU8" s="517"/>
      <c r="BV8" s="517"/>
      <c r="BW8" s="518"/>
      <c r="BX8" s="487"/>
      <c r="BY8" s="488"/>
      <c r="BZ8" s="488"/>
      <c r="CA8" s="488"/>
      <c r="CB8" s="488"/>
      <c r="CC8" s="488"/>
      <c r="CD8" s="488"/>
      <c r="CE8" s="488"/>
      <c r="CF8" s="488"/>
      <c r="CG8" s="488"/>
      <c r="CH8" s="488"/>
      <c r="CI8" s="488"/>
      <c r="CJ8" s="489"/>
    </row>
    <row r="9" spans="1:88" x14ac:dyDescent="0.15">
      <c r="A9" s="634" t="s">
        <v>131</v>
      </c>
      <c r="B9" s="634"/>
      <c r="C9" s="635"/>
      <c r="D9" s="418">
        <v>5</v>
      </c>
      <c r="E9" s="25" t="s">
        <v>132</v>
      </c>
      <c r="F9" s="477" t="s">
        <v>1407</v>
      </c>
      <c r="G9" s="19"/>
      <c r="H9" s="19"/>
      <c r="I9" s="19"/>
      <c r="J9" s="19"/>
      <c r="K9" s="19"/>
      <c r="L9" s="21" t="s">
        <v>133</v>
      </c>
      <c r="M9" s="570"/>
      <c r="N9" s="571"/>
      <c r="O9" s="142"/>
      <c r="P9" s="22" t="str">
        <f>IF(O9="","",VLOOKUP(O9,機械単価!B15:'機械単価'!C26,2,FALSE))</f>
        <v/>
      </c>
      <c r="Q9" s="146"/>
      <c r="R9" s="23" t="s">
        <v>97</v>
      </c>
      <c r="S9" s="24"/>
      <c r="T9" s="551" t="str">
        <f t="shared" si="1"/>
        <v/>
      </c>
      <c r="U9" s="552"/>
      <c r="V9" s="151"/>
      <c r="W9" s="66" t="str">
        <f t="shared" si="2"/>
        <v>無</v>
      </c>
      <c r="X9" s="157"/>
      <c r="Y9" s="67" t="str">
        <f t="shared" si="3"/>
        <v/>
      </c>
      <c r="Z9" s="535" t="str">
        <f>IF(O9="","",VLOOKUP(O9,機械単価!B15:'機械単価'!D26,3,FALSE))</f>
        <v/>
      </c>
      <c r="AA9" s="536"/>
      <c r="AB9" s="62">
        <f>供用日!L11</f>
        <v>0</v>
      </c>
      <c r="AC9" s="163">
        <f t="shared" si="0"/>
        <v>0</v>
      </c>
      <c r="AD9" s="91" t="s">
        <v>134</v>
      </c>
      <c r="AE9" s="519">
        <f>IF(機械単価!D61=0,0,IF(機械単価!D61&lt;100,機械単価!D50*100,機械単価!D50*機械単価!D61))</f>
        <v>0</v>
      </c>
      <c r="AF9" s="520"/>
      <c r="AG9" s="58"/>
      <c r="AH9" s="493"/>
      <c r="AI9" s="494"/>
      <c r="AJ9" s="494"/>
      <c r="AK9" s="494"/>
      <c r="AL9" s="494"/>
      <c r="AM9" s="495"/>
      <c r="AN9" s="493"/>
      <c r="AO9" s="494"/>
      <c r="AP9" s="494"/>
      <c r="AQ9" s="494"/>
      <c r="AR9" s="494"/>
      <c r="AS9" s="494"/>
      <c r="AT9" s="494"/>
      <c r="AU9" s="494"/>
      <c r="AV9" s="494"/>
      <c r="AW9" s="494"/>
      <c r="AX9" s="494"/>
      <c r="AY9" s="494"/>
      <c r="AZ9" s="495"/>
      <c r="BA9" s="515" t="s">
        <v>123</v>
      </c>
      <c r="BB9" s="516"/>
      <c r="BC9" s="516"/>
      <c r="BD9" s="516"/>
      <c r="BE9" s="516"/>
      <c r="BF9" s="499" t="s">
        <v>135</v>
      </c>
      <c r="BG9" s="499"/>
      <c r="BH9" s="499"/>
      <c r="BI9" s="499"/>
      <c r="BJ9" s="499"/>
      <c r="BK9" s="499"/>
      <c r="BL9" s="499"/>
      <c r="BM9" s="499"/>
      <c r="BN9" s="499"/>
      <c r="BO9" s="499"/>
      <c r="BP9" s="499"/>
      <c r="BQ9" s="499"/>
      <c r="BR9" s="499"/>
      <c r="BS9" s="499"/>
      <c r="BT9" s="499"/>
      <c r="BU9" s="499"/>
      <c r="BV9" s="499"/>
      <c r="BW9" s="500"/>
      <c r="BX9" s="493"/>
      <c r="BY9" s="494"/>
      <c r="BZ9" s="494"/>
      <c r="CA9" s="494"/>
      <c r="CB9" s="494"/>
      <c r="CC9" s="494"/>
      <c r="CD9" s="494"/>
      <c r="CE9" s="494"/>
      <c r="CF9" s="494"/>
      <c r="CG9" s="494"/>
      <c r="CH9" s="494"/>
      <c r="CI9" s="494"/>
      <c r="CJ9" s="495"/>
    </row>
    <row r="10" spans="1:88" x14ac:dyDescent="0.15">
      <c r="A10" s="634" t="s">
        <v>136</v>
      </c>
      <c r="B10" s="634"/>
      <c r="C10" s="635"/>
      <c r="D10" s="419">
        <v>3</v>
      </c>
      <c r="E10" s="26" t="s">
        <v>137</v>
      </c>
      <c r="F10" s="19"/>
      <c r="G10" s="27" t="s">
        <v>138</v>
      </c>
      <c r="H10" s="27"/>
      <c r="I10" s="638">
        <v>2.7</v>
      </c>
      <c r="J10" s="640"/>
      <c r="K10" s="19"/>
      <c r="L10" s="21" t="s">
        <v>139</v>
      </c>
      <c r="M10" s="570"/>
      <c r="N10" s="571"/>
      <c r="O10" s="142"/>
      <c r="P10" s="22" t="str">
        <f>IF(O10="","",VLOOKUP(O10,機械単価!B15:'機械単価'!C26,2,FALSE))</f>
        <v/>
      </c>
      <c r="Q10" s="146"/>
      <c r="R10" s="23" t="s">
        <v>97</v>
      </c>
      <c r="S10" s="24"/>
      <c r="T10" s="551" t="str">
        <f t="shared" si="1"/>
        <v/>
      </c>
      <c r="U10" s="552"/>
      <c r="V10" s="151"/>
      <c r="W10" s="66" t="str">
        <f t="shared" si="2"/>
        <v>無</v>
      </c>
      <c r="X10" s="157"/>
      <c r="Y10" s="67" t="str">
        <f t="shared" si="3"/>
        <v/>
      </c>
      <c r="Z10" s="535" t="str">
        <f>IF(O10="","",VLOOKUP(O10,機械単価!B15:'機械単価'!D26,3,FALSE))</f>
        <v/>
      </c>
      <c r="AA10" s="536"/>
      <c r="AB10" s="62">
        <f>供用日!L12</f>
        <v>0</v>
      </c>
      <c r="AC10" s="163">
        <f t="shared" si="0"/>
        <v>0</v>
      </c>
      <c r="AD10" s="91" t="s">
        <v>140</v>
      </c>
      <c r="AE10" s="519">
        <f>IF(機械単価!D62=0,0,IF(機械単価!D62&lt;100,機械単価!D51*100,機械単価!D51*機械単価!D62))</f>
        <v>0</v>
      </c>
      <c r="AF10" s="520"/>
      <c r="AG10" s="58"/>
      <c r="AH10" s="487" t="s">
        <v>141</v>
      </c>
      <c r="AI10" s="488"/>
      <c r="AJ10" s="488"/>
      <c r="AK10" s="488"/>
      <c r="AL10" s="488"/>
      <c r="AM10" s="489"/>
      <c r="AN10" s="487" t="s">
        <v>142</v>
      </c>
      <c r="AO10" s="488"/>
      <c r="AP10" s="488"/>
      <c r="AQ10" s="488"/>
      <c r="AR10" s="488"/>
      <c r="AS10" s="488"/>
      <c r="AT10" s="488"/>
      <c r="AU10" s="488"/>
      <c r="AV10" s="488"/>
      <c r="AW10" s="488"/>
      <c r="AX10" s="488"/>
      <c r="AY10" s="488"/>
      <c r="AZ10" s="489"/>
      <c r="BA10" s="521" t="s">
        <v>143</v>
      </c>
      <c r="BB10" s="522"/>
      <c r="BC10" s="522"/>
      <c r="BD10" s="522"/>
      <c r="BE10" s="522"/>
      <c r="BF10" s="522"/>
      <c r="BG10" s="522"/>
      <c r="BH10" s="522"/>
      <c r="BI10" s="522"/>
      <c r="BJ10" s="522"/>
      <c r="BK10" s="522"/>
      <c r="BL10" s="522"/>
      <c r="BM10" s="522"/>
      <c r="BN10" s="522"/>
      <c r="BO10" s="522"/>
      <c r="BP10" s="522"/>
      <c r="BQ10" s="522"/>
      <c r="BR10" s="522"/>
      <c r="BS10" s="522"/>
      <c r="BT10" s="522"/>
      <c r="BU10" s="522"/>
      <c r="BV10" s="522"/>
      <c r="BW10" s="523"/>
      <c r="BX10" s="487"/>
      <c r="BY10" s="488"/>
      <c r="BZ10" s="488"/>
      <c r="CA10" s="488"/>
      <c r="CB10" s="488"/>
      <c r="CC10" s="488"/>
      <c r="CD10" s="488"/>
      <c r="CE10" s="488"/>
      <c r="CF10" s="488"/>
      <c r="CG10" s="488"/>
      <c r="CH10" s="488"/>
      <c r="CI10" s="488"/>
      <c r="CJ10" s="489"/>
    </row>
    <row r="11" spans="1:88" ht="13.9" customHeight="1" thickBot="1" x14ac:dyDescent="0.2">
      <c r="A11" s="28" t="s">
        <v>144</v>
      </c>
      <c r="B11" s="27"/>
      <c r="C11" s="448"/>
      <c r="D11" s="419">
        <v>2.7</v>
      </c>
      <c r="E11" s="30" t="s">
        <v>145</v>
      </c>
      <c r="F11" s="19"/>
      <c r="G11" s="27" t="s">
        <v>146</v>
      </c>
      <c r="H11" s="27"/>
      <c r="I11" s="638">
        <v>10</v>
      </c>
      <c r="J11" s="640"/>
      <c r="K11" s="33" t="s">
        <v>147</v>
      </c>
      <c r="L11" s="21" t="s">
        <v>148</v>
      </c>
      <c r="M11" s="570"/>
      <c r="N11" s="571"/>
      <c r="O11" s="142"/>
      <c r="P11" s="22" t="str">
        <f>IF(O11="","",VLOOKUP(O11,機械単価!B15:'機械単価'!C26,2,FALSE))</f>
        <v/>
      </c>
      <c r="Q11" s="146"/>
      <c r="R11" s="23" t="s">
        <v>97</v>
      </c>
      <c r="S11" s="24"/>
      <c r="T11" s="551" t="str">
        <f t="shared" si="1"/>
        <v/>
      </c>
      <c r="U11" s="552"/>
      <c r="V11" s="151"/>
      <c r="W11" s="66" t="str">
        <f t="shared" si="2"/>
        <v>無</v>
      </c>
      <c r="X11" s="157"/>
      <c r="Y11" s="67" t="str">
        <f t="shared" si="3"/>
        <v/>
      </c>
      <c r="Z11" s="535" t="str">
        <f>IF(O11="","",VLOOKUP(O11,機械単価!B15:'機械単価'!D26,3,FALSE))</f>
        <v/>
      </c>
      <c r="AA11" s="536"/>
      <c r="AB11" s="62">
        <f>供用日!L13</f>
        <v>0</v>
      </c>
      <c r="AC11" s="163">
        <f t="shared" si="0"/>
        <v>0</v>
      </c>
      <c r="AD11" s="179" t="s">
        <v>149</v>
      </c>
      <c r="AE11" s="527">
        <f>IF(機械単価!D63=0,0,IF(機械単価!D63&lt;100,機械単価!D52*100,機械単価!D52*機械単価!D63))</f>
        <v>0</v>
      </c>
      <c r="AF11" s="528"/>
      <c r="AG11" s="58"/>
      <c r="AH11" s="493"/>
      <c r="AI11" s="494"/>
      <c r="AJ11" s="494"/>
      <c r="AK11" s="494"/>
      <c r="AL11" s="494"/>
      <c r="AM11" s="495"/>
      <c r="AN11" s="490"/>
      <c r="AO11" s="491"/>
      <c r="AP11" s="491"/>
      <c r="AQ11" s="491"/>
      <c r="AR11" s="491"/>
      <c r="AS11" s="491"/>
      <c r="AT11" s="491"/>
      <c r="AU11" s="491"/>
      <c r="AV11" s="491"/>
      <c r="AW11" s="491"/>
      <c r="AX11" s="491"/>
      <c r="AY11" s="491"/>
      <c r="AZ11" s="492"/>
      <c r="BA11" s="524" t="s">
        <v>150</v>
      </c>
      <c r="BB11" s="525"/>
      <c r="BC11" s="525"/>
      <c r="BD11" s="525"/>
      <c r="BE11" s="525"/>
      <c r="BF11" s="525"/>
      <c r="BG11" s="525"/>
      <c r="BH11" s="525"/>
      <c r="BI11" s="525"/>
      <c r="BJ11" s="525"/>
      <c r="BK11" s="525"/>
      <c r="BL11" s="525"/>
      <c r="BM11" s="525"/>
      <c r="BN11" s="525"/>
      <c r="BO11" s="525"/>
      <c r="BP11" s="525"/>
      <c r="BQ11" s="525"/>
      <c r="BR11" s="525"/>
      <c r="BS11" s="525"/>
      <c r="BT11" s="525"/>
      <c r="BU11" s="525"/>
      <c r="BV11" s="525"/>
      <c r="BW11" s="526"/>
      <c r="BX11" s="493"/>
      <c r="BY11" s="494"/>
      <c r="BZ11" s="494"/>
      <c r="CA11" s="494"/>
      <c r="CB11" s="494"/>
      <c r="CC11" s="494"/>
      <c r="CD11" s="494"/>
      <c r="CE11" s="494"/>
      <c r="CF11" s="494"/>
      <c r="CG11" s="494"/>
      <c r="CH11" s="494"/>
      <c r="CI11" s="494"/>
      <c r="CJ11" s="495"/>
    </row>
    <row r="12" spans="1:88" ht="15" thickTop="1" x14ac:dyDescent="0.15">
      <c r="A12" s="634" t="s">
        <v>151</v>
      </c>
      <c r="B12" s="634"/>
      <c r="C12" s="635"/>
      <c r="D12" s="419">
        <v>0</v>
      </c>
      <c r="E12" s="30" t="s">
        <v>145</v>
      </c>
      <c r="F12" s="19"/>
      <c r="G12" s="47" t="s">
        <v>152</v>
      </c>
      <c r="H12" s="19"/>
      <c r="I12" s="638">
        <v>0.6</v>
      </c>
      <c r="J12" s="640"/>
      <c r="K12" s="19"/>
      <c r="L12" s="21" t="s">
        <v>153</v>
      </c>
      <c r="M12" s="649"/>
      <c r="N12" s="650"/>
      <c r="O12" s="143"/>
      <c r="P12" s="22" t="str">
        <f>IF(O12="","",VLOOKUP(O12,機械単価!B15:'機械単価'!C26,2,FALSE))</f>
        <v/>
      </c>
      <c r="Q12" s="147"/>
      <c r="R12" s="23" t="s">
        <v>97</v>
      </c>
      <c r="S12" s="31"/>
      <c r="T12" s="551" t="str">
        <f t="shared" si="1"/>
        <v/>
      </c>
      <c r="U12" s="552"/>
      <c r="V12" s="156"/>
      <c r="W12" s="66" t="str">
        <f t="shared" si="2"/>
        <v>無</v>
      </c>
      <c r="X12" s="157"/>
      <c r="Y12" s="67" t="str">
        <f t="shared" si="3"/>
        <v/>
      </c>
      <c r="Z12" s="535" t="str">
        <f>IF(O12="","",VLOOKUP(O12,機械単価!B15:'機械単価'!D26,3,FALSE))</f>
        <v/>
      </c>
      <c r="AA12" s="536"/>
      <c r="AB12" s="62">
        <f>供用日!L14</f>
        <v>0</v>
      </c>
      <c r="AC12" s="163">
        <f t="shared" si="0"/>
        <v>0</v>
      </c>
      <c r="AD12" s="87"/>
      <c r="AE12" s="86"/>
      <c r="AF12" s="60"/>
      <c r="AG12" s="58"/>
      <c r="AH12" s="487" t="s">
        <v>154</v>
      </c>
      <c r="AI12" s="488"/>
      <c r="AJ12" s="488"/>
      <c r="AK12" s="488"/>
      <c r="AL12" s="488"/>
      <c r="AM12" s="489"/>
      <c r="AN12" s="490"/>
      <c r="AO12" s="491"/>
      <c r="AP12" s="491"/>
      <c r="AQ12" s="491"/>
      <c r="AR12" s="491"/>
      <c r="AS12" s="491"/>
      <c r="AT12" s="491"/>
      <c r="AU12" s="491"/>
      <c r="AV12" s="491"/>
      <c r="AW12" s="491"/>
      <c r="AX12" s="491"/>
      <c r="AY12" s="491"/>
      <c r="AZ12" s="492"/>
      <c r="BA12" s="513" t="s">
        <v>117</v>
      </c>
      <c r="BB12" s="514"/>
      <c r="BC12" s="514"/>
      <c r="BD12" s="514"/>
      <c r="BE12" s="514"/>
      <c r="BF12" s="517" t="s">
        <v>155</v>
      </c>
      <c r="BG12" s="517"/>
      <c r="BH12" s="517"/>
      <c r="BI12" s="517"/>
      <c r="BJ12" s="517"/>
      <c r="BK12" s="517"/>
      <c r="BL12" s="517"/>
      <c r="BM12" s="517"/>
      <c r="BN12" s="517"/>
      <c r="BO12" s="517"/>
      <c r="BP12" s="517"/>
      <c r="BQ12" s="517"/>
      <c r="BR12" s="517"/>
      <c r="BS12" s="517"/>
      <c r="BT12" s="517"/>
      <c r="BU12" s="517"/>
      <c r="BV12" s="517"/>
      <c r="BW12" s="518"/>
      <c r="BX12" s="487" t="s">
        <v>156</v>
      </c>
      <c r="BY12" s="488"/>
      <c r="BZ12" s="488"/>
      <c r="CA12" s="488"/>
      <c r="CB12" s="488"/>
      <c r="CC12" s="488"/>
      <c r="CD12" s="488"/>
      <c r="CE12" s="488"/>
      <c r="CF12" s="488"/>
      <c r="CG12" s="488"/>
      <c r="CH12" s="488"/>
      <c r="CI12" s="488"/>
      <c r="CJ12" s="489"/>
    </row>
    <row r="13" spans="1:88" x14ac:dyDescent="0.15">
      <c r="A13" s="634" t="s">
        <v>157</v>
      </c>
      <c r="B13" s="634"/>
      <c r="C13" s="635"/>
      <c r="D13" s="429">
        <v>30</v>
      </c>
      <c r="E13" s="25" t="s">
        <v>158</v>
      </c>
      <c r="F13" s="19"/>
      <c r="G13" s="28" t="s">
        <v>159</v>
      </c>
      <c r="H13" s="19"/>
      <c r="I13" s="605">
        <v>1.1499999999999999</v>
      </c>
      <c r="J13" s="606"/>
      <c r="K13" s="19"/>
      <c r="L13" s="21" t="s">
        <v>160</v>
      </c>
      <c r="M13" s="583"/>
      <c r="N13" s="584"/>
      <c r="O13" s="142"/>
      <c r="P13" s="22" t="str">
        <f>IF(O13="","",VLOOKUP(O13,機械単価!B15:'機械単価'!C26,2,FALSE))</f>
        <v/>
      </c>
      <c r="Q13" s="148"/>
      <c r="R13" s="23" t="s">
        <v>97</v>
      </c>
      <c r="S13" s="151"/>
      <c r="T13" s="551" t="str">
        <f t="shared" si="1"/>
        <v/>
      </c>
      <c r="U13" s="552"/>
      <c r="V13" s="151"/>
      <c r="W13" s="66" t="str">
        <f t="shared" si="2"/>
        <v>無</v>
      </c>
      <c r="X13" s="157"/>
      <c r="Y13" s="67" t="str">
        <f t="shared" si="3"/>
        <v/>
      </c>
      <c r="Z13" s="535" t="str">
        <f>IF(O13="","",VLOOKUP(O13,機械単価!B15:'機械単価'!D26,3,FALSE))</f>
        <v/>
      </c>
      <c r="AA13" s="536"/>
      <c r="AB13" s="62">
        <f>供用日!L15</f>
        <v>0</v>
      </c>
      <c r="AC13" s="163">
        <f t="shared" si="0"/>
        <v>0</v>
      </c>
      <c r="AD13" s="87"/>
      <c r="AE13" s="86"/>
      <c r="AF13" s="60"/>
      <c r="AG13" s="58"/>
      <c r="AH13" s="493"/>
      <c r="AI13" s="494"/>
      <c r="AJ13" s="494"/>
      <c r="AK13" s="494"/>
      <c r="AL13" s="494"/>
      <c r="AM13" s="495"/>
      <c r="AN13" s="490"/>
      <c r="AO13" s="491"/>
      <c r="AP13" s="491"/>
      <c r="AQ13" s="491"/>
      <c r="AR13" s="491"/>
      <c r="AS13" s="491"/>
      <c r="AT13" s="491"/>
      <c r="AU13" s="491"/>
      <c r="AV13" s="491"/>
      <c r="AW13" s="491"/>
      <c r="AX13" s="491"/>
      <c r="AY13" s="491"/>
      <c r="AZ13" s="492"/>
      <c r="BA13" s="515" t="s">
        <v>123</v>
      </c>
      <c r="BB13" s="516"/>
      <c r="BC13" s="516"/>
      <c r="BD13" s="516"/>
      <c r="BE13" s="516"/>
      <c r="BF13" s="499" t="s">
        <v>161</v>
      </c>
      <c r="BG13" s="499"/>
      <c r="BH13" s="499"/>
      <c r="BI13" s="499"/>
      <c r="BJ13" s="499"/>
      <c r="BK13" s="499"/>
      <c r="BL13" s="499"/>
      <c r="BM13" s="499"/>
      <c r="BN13" s="499"/>
      <c r="BO13" s="499"/>
      <c r="BP13" s="499"/>
      <c r="BQ13" s="499"/>
      <c r="BR13" s="499"/>
      <c r="BS13" s="499"/>
      <c r="BT13" s="499"/>
      <c r="BU13" s="499"/>
      <c r="BV13" s="499"/>
      <c r="BW13" s="500"/>
      <c r="BX13" s="493"/>
      <c r="BY13" s="494"/>
      <c r="BZ13" s="494"/>
      <c r="CA13" s="494"/>
      <c r="CB13" s="494"/>
      <c r="CC13" s="494"/>
      <c r="CD13" s="494"/>
      <c r="CE13" s="494"/>
      <c r="CF13" s="494"/>
      <c r="CG13" s="494"/>
      <c r="CH13" s="494"/>
      <c r="CI13" s="494"/>
      <c r="CJ13" s="495"/>
    </row>
    <row r="14" spans="1:88" x14ac:dyDescent="0.15">
      <c r="A14" s="634" t="s">
        <v>162</v>
      </c>
      <c r="B14" s="634"/>
      <c r="C14" s="635"/>
      <c r="D14" s="420">
        <v>30</v>
      </c>
      <c r="E14" s="25" t="s">
        <v>158</v>
      </c>
      <c r="F14" s="27" t="s">
        <v>163</v>
      </c>
      <c r="G14" s="27"/>
      <c r="H14" s="448"/>
      <c r="I14" s="360">
        <f>100-D14-D15</f>
        <v>40</v>
      </c>
      <c r="J14" s="25" t="s">
        <v>158</v>
      </c>
      <c r="L14" s="21" t="s">
        <v>164</v>
      </c>
      <c r="M14" s="583"/>
      <c r="N14" s="584"/>
      <c r="O14" s="142"/>
      <c r="P14" s="22" t="str">
        <f>IF(O14="","",VLOOKUP(O14,機械単価!B15:'機械単価'!C26,2,FALSE))</f>
        <v/>
      </c>
      <c r="Q14" s="148"/>
      <c r="R14" s="23" t="s">
        <v>97</v>
      </c>
      <c r="S14" s="151"/>
      <c r="T14" s="551" t="str">
        <f t="shared" si="1"/>
        <v/>
      </c>
      <c r="U14" s="552"/>
      <c r="V14" s="151"/>
      <c r="W14" s="66" t="str">
        <f t="shared" si="2"/>
        <v>無</v>
      </c>
      <c r="X14" s="157"/>
      <c r="Y14" s="67" t="str">
        <f t="shared" si="3"/>
        <v/>
      </c>
      <c r="Z14" s="535" t="str">
        <f>IF(O14="","",VLOOKUP(O14,機械単価!B15:'機械単価'!D26,3,FALSE))</f>
        <v/>
      </c>
      <c r="AA14" s="536"/>
      <c r="AB14" s="62">
        <f>供用日!L16</f>
        <v>0</v>
      </c>
      <c r="AC14" s="163">
        <f t="shared" si="0"/>
        <v>0</v>
      </c>
      <c r="AD14" s="87"/>
      <c r="AE14" s="86"/>
      <c r="AF14" s="60"/>
      <c r="AG14" s="58"/>
      <c r="AH14" s="487" t="s">
        <v>1399</v>
      </c>
      <c r="AI14" s="488"/>
      <c r="AJ14" s="488"/>
      <c r="AK14" s="488"/>
      <c r="AL14" s="488"/>
      <c r="AM14" s="489"/>
      <c r="AN14" s="490"/>
      <c r="AO14" s="491"/>
      <c r="AP14" s="491"/>
      <c r="AQ14" s="491"/>
      <c r="AR14" s="491"/>
      <c r="AS14" s="491"/>
      <c r="AT14" s="491"/>
      <c r="AU14" s="491"/>
      <c r="AV14" s="491"/>
      <c r="AW14" s="491"/>
      <c r="AX14" s="491"/>
      <c r="AY14" s="491"/>
      <c r="AZ14" s="492"/>
      <c r="BA14" s="513" t="s">
        <v>117</v>
      </c>
      <c r="BB14" s="514"/>
      <c r="BC14" s="514"/>
      <c r="BD14" s="514"/>
      <c r="BE14" s="514"/>
      <c r="BF14" s="517" t="s">
        <v>1403</v>
      </c>
      <c r="BG14" s="517"/>
      <c r="BH14" s="517"/>
      <c r="BI14" s="517"/>
      <c r="BJ14" s="517"/>
      <c r="BK14" s="517"/>
      <c r="BL14" s="517"/>
      <c r="BM14" s="517"/>
      <c r="BN14" s="517"/>
      <c r="BO14" s="517"/>
      <c r="BP14" s="517"/>
      <c r="BQ14" s="517"/>
      <c r="BR14" s="517"/>
      <c r="BS14" s="517"/>
      <c r="BT14" s="517"/>
      <c r="BU14" s="517"/>
      <c r="BV14" s="517"/>
      <c r="BW14" s="518"/>
      <c r="BX14" s="487" t="s">
        <v>1405</v>
      </c>
      <c r="BY14" s="488"/>
      <c r="BZ14" s="488"/>
      <c r="CA14" s="488"/>
      <c r="CB14" s="488"/>
      <c r="CC14" s="488"/>
      <c r="CD14" s="488"/>
      <c r="CE14" s="488"/>
      <c r="CF14" s="488"/>
      <c r="CG14" s="488"/>
      <c r="CH14" s="488"/>
      <c r="CI14" s="488"/>
      <c r="CJ14" s="489"/>
    </row>
    <row r="15" spans="1:88" x14ac:dyDescent="0.15">
      <c r="A15" s="634" t="s">
        <v>167</v>
      </c>
      <c r="B15" s="634"/>
      <c r="C15" s="635"/>
      <c r="D15" s="420">
        <v>30</v>
      </c>
      <c r="E15" s="25" t="s">
        <v>158</v>
      </c>
      <c r="F15" s="109" t="s">
        <v>168</v>
      </c>
      <c r="G15" s="19"/>
      <c r="H15" s="158">
        <v>80</v>
      </c>
      <c r="I15" s="110" t="s">
        <v>169</v>
      </c>
      <c r="K15" s="37"/>
      <c r="L15" s="21" t="s">
        <v>170</v>
      </c>
      <c r="M15" s="583"/>
      <c r="N15" s="584"/>
      <c r="O15" s="142"/>
      <c r="P15" s="22" t="str">
        <f>IF(O15="","",VLOOKUP(O15,機械単価!B15:'機械単価'!C26,2,FALSE))</f>
        <v/>
      </c>
      <c r="Q15" s="148"/>
      <c r="R15" s="23" t="s">
        <v>97</v>
      </c>
      <c r="S15" s="152"/>
      <c r="T15" s="551" t="str">
        <f t="shared" si="1"/>
        <v/>
      </c>
      <c r="U15" s="552"/>
      <c r="V15" s="151"/>
      <c r="W15" s="66" t="str">
        <f t="shared" si="2"/>
        <v>無</v>
      </c>
      <c r="X15" s="157"/>
      <c r="Y15" s="67" t="str">
        <f t="shared" si="3"/>
        <v/>
      </c>
      <c r="Z15" s="535" t="str">
        <f>IF(O15="","",VLOOKUP(O15,機械単価!B15:'機械単価'!D26,3,FALSE))</f>
        <v/>
      </c>
      <c r="AA15" s="536"/>
      <c r="AB15" s="62">
        <f>供用日!L17</f>
        <v>0</v>
      </c>
      <c r="AC15" s="163">
        <f t="shared" si="0"/>
        <v>0</v>
      </c>
      <c r="AD15" s="87"/>
      <c r="AE15" s="86"/>
      <c r="AF15" s="60"/>
      <c r="AG15" s="58"/>
      <c r="AH15" s="493"/>
      <c r="AI15" s="494"/>
      <c r="AJ15" s="494"/>
      <c r="AK15" s="494"/>
      <c r="AL15" s="494"/>
      <c r="AM15" s="495"/>
      <c r="AN15" s="493"/>
      <c r="AO15" s="494"/>
      <c r="AP15" s="494"/>
      <c r="AQ15" s="494"/>
      <c r="AR15" s="494"/>
      <c r="AS15" s="494"/>
      <c r="AT15" s="494"/>
      <c r="AU15" s="494"/>
      <c r="AV15" s="494"/>
      <c r="AW15" s="494"/>
      <c r="AX15" s="494"/>
      <c r="AY15" s="494"/>
      <c r="AZ15" s="495"/>
      <c r="BA15" s="515" t="s">
        <v>123</v>
      </c>
      <c r="BB15" s="516"/>
      <c r="BC15" s="516"/>
      <c r="BD15" s="516"/>
      <c r="BE15" s="516"/>
      <c r="BF15" s="499" t="s">
        <v>1404</v>
      </c>
      <c r="BG15" s="499"/>
      <c r="BH15" s="499"/>
      <c r="BI15" s="499"/>
      <c r="BJ15" s="499"/>
      <c r="BK15" s="499"/>
      <c r="BL15" s="499"/>
      <c r="BM15" s="499"/>
      <c r="BN15" s="499"/>
      <c r="BO15" s="499"/>
      <c r="BP15" s="499"/>
      <c r="BQ15" s="499"/>
      <c r="BR15" s="499"/>
      <c r="BS15" s="499"/>
      <c r="BT15" s="499"/>
      <c r="BU15" s="499"/>
      <c r="BV15" s="499"/>
      <c r="BW15" s="500"/>
      <c r="BX15" s="493"/>
      <c r="BY15" s="494"/>
      <c r="BZ15" s="494"/>
      <c r="CA15" s="494"/>
      <c r="CB15" s="494"/>
      <c r="CC15" s="494"/>
      <c r="CD15" s="494"/>
      <c r="CE15" s="494"/>
      <c r="CF15" s="494"/>
      <c r="CG15" s="494"/>
      <c r="CH15" s="494"/>
      <c r="CI15" s="494"/>
      <c r="CJ15" s="495"/>
    </row>
    <row r="16" spans="1:88" x14ac:dyDescent="0.15">
      <c r="A16" s="670" t="s">
        <v>105</v>
      </c>
      <c r="B16" s="670"/>
      <c r="C16" s="671"/>
      <c r="D16" s="421">
        <v>1</v>
      </c>
      <c r="E16" s="32" t="s">
        <v>174</v>
      </c>
      <c r="F16" s="33"/>
      <c r="G16" s="19"/>
      <c r="H16" s="19"/>
      <c r="I16" s="19"/>
      <c r="J16" s="19"/>
      <c r="K16" s="19"/>
      <c r="L16" s="34" t="s">
        <v>175</v>
      </c>
      <c r="M16" s="585"/>
      <c r="N16" s="586"/>
      <c r="O16" s="144"/>
      <c r="P16" s="22" t="str">
        <f>IF(O16="","",VLOOKUP(O16,機械単価!B15:'機械単価'!C26,2,FALSE))</f>
        <v/>
      </c>
      <c r="Q16" s="149"/>
      <c r="R16" s="23" t="s">
        <v>97</v>
      </c>
      <c r="S16" s="153"/>
      <c r="T16" s="551" t="str">
        <f t="shared" si="1"/>
        <v/>
      </c>
      <c r="U16" s="552"/>
      <c r="V16" s="153"/>
      <c r="W16" s="66" t="str">
        <f t="shared" si="2"/>
        <v>無</v>
      </c>
      <c r="X16" s="157"/>
      <c r="Y16" s="67" t="str">
        <f t="shared" si="3"/>
        <v/>
      </c>
      <c r="Z16" s="535" t="str">
        <f>IF(O16="","",VLOOKUP(O16,機械単価!B15:'機械単価'!D26,3,FALSE))</f>
        <v/>
      </c>
      <c r="AA16" s="536"/>
      <c r="AB16" s="62">
        <f>供用日!L18</f>
        <v>0</v>
      </c>
      <c r="AC16" s="163">
        <f t="shared" si="0"/>
        <v>0</v>
      </c>
      <c r="AD16" s="87"/>
      <c r="AE16" s="86"/>
      <c r="AF16" s="60"/>
      <c r="AG16" s="58"/>
      <c r="AH16" s="496" t="s">
        <v>1400</v>
      </c>
      <c r="AI16" s="497"/>
      <c r="AJ16" s="497"/>
      <c r="AK16" s="497"/>
      <c r="AL16" s="497"/>
      <c r="AM16" s="498"/>
      <c r="AN16" s="496" t="s">
        <v>165</v>
      </c>
      <c r="AO16" s="497"/>
      <c r="AP16" s="497"/>
      <c r="AQ16" s="497"/>
      <c r="AR16" s="497"/>
      <c r="AS16" s="497"/>
      <c r="AT16" s="497"/>
      <c r="AU16" s="497"/>
      <c r="AV16" s="497"/>
      <c r="AW16" s="497"/>
      <c r="AX16" s="497"/>
      <c r="AY16" s="497"/>
      <c r="AZ16" s="498"/>
      <c r="BA16" s="496" t="s">
        <v>166</v>
      </c>
      <c r="BB16" s="497"/>
      <c r="BC16" s="497"/>
      <c r="BD16" s="497"/>
      <c r="BE16" s="497"/>
      <c r="BF16" s="497"/>
      <c r="BG16" s="497"/>
      <c r="BH16" s="497"/>
      <c r="BI16" s="497"/>
      <c r="BJ16" s="497"/>
      <c r="BK16" s="497"/>
      <c r="BL16" s="497"/>
      <c r="BM16" s="497"/>
      <c r="BN16" s="497"/>
      <c r="BO16" s="497"/>
      <c r="BP16" s="497"/>
      <c r="BQ16" s="497"/>
      <c r="BR16" s="497"/>
      <c r="BS16" s="497"/>
      <c r="BT16" s="497"/>
      <c r="BU16" s="497"/>
      <c r="BV16" s="497"/>
      <c r="BW16" s="498"/>
      <c r="BX16" s="496"/>
      <c r="BY16" s="497"/>
      <c r="BZ16" s="497"/>
      <c r="CA16" s="497"/>
      <c r="CB16" s="497"/>
      <c r="CC16" s="497"/>
      <c r="CD16" s="497"/>
      <c r="CE16" s="497"/>
      <c r="CF16" s="497"/>
      <c r="CG16" s="497"/>
      <c r="CH16" s="497"/>
      <c r="CI16" s="497"/>
      <c r="CJ16" s="498"/>
    </row>
    <row r="17" spans="1:88" ht="16.5" x14ac:dyDescent="0.15">
      <c r="A17" s="35" t="s">
        <v>178</v>
      </c>
      <c r="B17" s="36"/>
      <c r="C17" s="448"/>
      <c r="D17" s="421">
        <v>1</v>
      </c>
      <c r="E17" s="37" t="s">
        <v>179</v>
      </c>
      <c r="F17" s="33"/>
      <c r="G17" s="19"/>
      <c r="H17" s="19"/>
      <c r="I17" s="19"/>
      <c r="J17" s="19"/>
      <c r="K17" s="19"/>
      <c r="L17" s="34" t="s">
        <v>180</v>
      </c>
      <c r="M17" s="696"/>
      <c r="N17" s="697"/>
      <c r="O17" s="145"/>
      <c r="P17" s="48" t="str">
        <f>IF(O17="","",VLOOKUP(O17,機械単価!B15:'機械単価'!C26,2,FALSE))</f>
        <v/>
      </c>
      <c r="Q17" s="150"/>
      <c r="R17" s="65" t="s">
        <v>97</v>
      </c>
      <c r="S17" s="154"/>
      <c r="T17" s="551" t="str">
        <f t="shared" si="1"/>
        <v/>
      </c>
      <c r="U17" s="552"/>
      <c r="V17" s="154"/>
      <c r="W17" s="66" t="str">
        <f t="shared" si="2"/>
        <v>無</v>
      </c>
      <c r="X17" s="68"/>
      <c r="Y17" s="69" t="s">
        <v>99</v>
      </c>
      <c r="Z17" s="679" t="str">
        <f>IF(O17="","",VLOOKUP(O17,機械単価!B15:'機械単価'!D26,3,FALSE))</f>
        <v/>
      </c>
      <c r="AA17" s="680"/>
      <c r="AB17" s="63">
        <f>供用日!L19</f>
        <v>0</v>
      </c>
      <c r="AC17" s="164">
        <f t="shared" si="0"/>
        <v>0</v>
      </c>
      <c r="AD17" s="88"/>
      <c r="AE17" s="85"/>
      <c r="AF17" s="61"/>
      <c r="AG17" s="58"/>
      <c r="AH17" s="487" t="s">
        <v>171</v>
      </c>
      <c r="AI17" s="488"/>
      <c r="AJ17" s="488"/>
      <c r="AK17" s="488"/>
      <c r="AL17" s="488"/>
      <c r="AM17" s="489"/>
      <c r="AN17" s="487" t="s">
        <v>172</v>
      </c>
      <c r="AO17" s="488"/>
      <c r="AP17" s="488"/>
      <c r="AQ17" s="488"/>
      <c r="AR17" s="489"/>
      <c r="AS17" s="487" t="s">
        <v>172</v>
      </c>
      <c r="AT17" s="488"/>
      <c r="AU17" s="488"/>
      <c r="AV17" s="488"/>
      <c r="AW17" s="488"/>
      <c r="AX17" s="488"/>
      <c r="AY17" s="488"/>
      <c r="AZ17" s="489"/>
      <c r="BA17" s="501" t="s">
        <v>173</v>
      </c>
      <c r="BB17" s="502"/>
      <c r="BC17" s="502"/>
      <c r="BD17" s="502"/>
      <c r="BE17" s="502"/>
      <c r="BF17" s="502"/>
      <c r="BG17" s="502"/>
      <c r="BH17" s="502"/>
      <c r="BI17" s="502"/>
      <c r="BJ17" s="502"/>
      <c r="BK17" s="502"/>
      <c r="BL17" s="502"/>
      <c r="BM17" s="502"/>
      <c r="BN17" s="502"/>
      <c r="BO17" s="502"/>
      <c r="BP17" s="502"/>
      <c r="BQ17" s="502"/>
      <c r="BR17" s="502"/>
      <c r="BS17" s="502"/>
      <c r="BT17" s="502"/>
      <c r="BU17" s="502"/>
      <c r="BV17" s="502"/>
      <c r="BW17" s="503"/>
      <c r="BX17" s="504"/>
      <c r="BY17" s="505"/>
      <c r="BZ17" s="505"/>
      <c r="CA17" s="505"/>
      <c r="CB17" s="505"/>
      <c r="CC17" s="505"/>
      <c r="CD17" s="505"/>
      <c r="CE17" s="505"/>
      <c r="CF17" s="505"/>
      <c r="CG17" s="505"/>
      <c r="CH17" s="505"/>
      <c r="CI17" s="505"/>
      <c r="CJ17" s="506"/>
    </row>
    <row r="18" spans="1:88" x14ac:dyDescent="0.15">
      <c r="A18" s="27" t="s">
        <v>183</v>
      </c>
      <c r="B18" s="27"/>
      <c r="C18" s="27"/>
      <c r="D18" s="421">
        <v>2</v>
      </c>
      <c r="E18" s="37" t="str">
        <f>IF(D8&lt;600,"【1:半管、2:標準管】","【2:標準管】")</f>
        <v>【1:半管、2:標準管】</v>
      </c>
      <c r="F18" s="33"/>
      <c r="G18" s="38"/>
      <c r="H18" s="19"/>
      <c r="I18" s="19"/>
      <c r="J18" s="19"/>
      <c r="K18" s="19"/>
      <c r="L18" s="39" t="s">
        <v>184</v>
      </c>
      <c r="M18" s="677">
        <f>SUM(M3:N17)</f>
        <v>100</v>
      </c>
      <c r="N18" s="677"/>
      <c r="O18" s="40" t="s">
        <v>132</v>
      </c>
      <c r="P18" s="694" t="s">
        <v>185</v>
      </c>
      <c r="Q18" s="695"/>
      <c r="R18" s="693">
        <f>供用日!G20</f>
        <v>14</v>
      </c>
      <c r="S18" s="693"/>
      <c r="T18" s="51" t="s">
        <v>186</v>
      </c>
      <c r="U18" s="686" t="s">
        <v>187</v>
      </c>
      <c r="V18" s="687"/>
      <c r="W18" s="687"/>
      <c r="X18" s="678">
        <f>IF(SUM(AB3:AB17)&lt;20,積算代価!L584,SUM(AC3:AC17))</f>
        <v>3595368</v>
      </c>
      <c r="Y18" s="678"/>
      <c r="Z18" s="678"/>
      <c r="AA18" s="678"/>
      <c r="AB18" s="56" t="s">
        <v>188</v>
      </c>
      <c r="AC18" s="57" t="s">
        <v>189</v>
      </c>
      <c r="AD18" s="690">
        <f>SUM(AE3:AF11)</f>
        <v>0</v>
      </c>
      <c r="AE18" s="690"/>
      <c r="AF18" s="59" t="s">
        <v>190</v>
      </c>
      <c r="AG18" s="55"/>
      <c r="AH18" s="490"/>
      <c r="AI18" s="491"/>
      <c r="AJ18" s="491"/>
      <c r="AK18" s="491"/>
      <c r="AL18" s="491"/>
      <c r="AM18" s="492"/>
      <c r="AN18" s="490"/>
      <c r="AO18" s="491"/>
      <c r="AP18" s="491"/>
      <c r="AQ18" s="491"/>
      <c r="AR18" s="492"/>
      <c r="AS18" s="493" t="s">
        <v>1401</v>
      </c>
      <c r="AT18" s="494"/>
      <c r="AU18" s="494"/>
      <c r="AV18" s="494"/>
      <c r="AW18" s="494"/>
      <c r="AX18" s="494"/>
      <c r="AY18" s="494"/>
      <c r="AZ18" s="495"/>
      <c r="BA18" s="507" t="s">
        <v>176</v>
      </c>
      <c r="BB18" s="508"/>
      <c r="BC18" s="508"/>
      <c r="BD18" s="508"/>
      <c r="BE18" s="508"/>
      <c r="BF18" s="508"/>
      <c r="BG18" s="508"/>
      <c r="BH18" s="508"/>
      <c r="BI18" s="508"/>
      <c r="BJ18" s="508"/>
      <c r="BK18" s="508"/>
      <c r="BL18" s="508"/>
      <c r="BM18" s="508"/>
      <c r="BN18" s="508"/>
      <c r="BO18" s="508"/>
      <c r="BP18" s="508"/>
      <c r="BQ18" s="508"/>
      <c r="BR18" s="508"/>
      <c r="BS18" s="508"/>
      <c r="BT18" s="508"/>
      <c r="BU18" s="508"/>
      <c r="BV18" s="508"/>
      <c r="BW18" s="509"/>
      <c r="BX18" s="510" t="s">
        <v>177</v>
      </c>
      <c r="BY18" s="511"/>
      <c r="BZ18" s="511"/>
      <c r="CA18" s="511"/>
      <c r="CB18" s="511"/>
      <c r="CC18" s="511"/>
      <c r="CD18" s="511"/>
      <c r="CE18" s="511"/>
      <c r="CF18" s="511"/>
      <c r="CG18" s="511"/>
      <c r="CH18" s="511"/>
      <c r="CI18" s="511"/>
      <c r="CJ18" s="512"/>
    </row>
    <row r="19" spans="1:88" x14ac:dyDescent="0.15">
      <c r="A19" s="27" t="s">
        <v>192</v>
      </c>
      <c r="B19" s="27"/>
      <c r="C19" s="27"/>
      <c r="D19" s="421">
        <v>4</v>
      </c>
      <c r="E19" s="105" t="s">
        <v>193</v>
      </c>
      <c r="F19" s="33"/>
      <c r="G19" s="19"/>
      <c r="H19" s="19"/>
      <c r="I19" s="19"/>
      <c r="J19" s="19"/>
      <c r="K19" s="19"/>
      <c r="L19" s="591" t="s">
        <v>194</v>
      </c>
      <c r="M19" s="592"/>
      <c r="N19" s="655">
        <f>供用日!J40</f>
        <v>27</v>
      </c>
      <c r="O19" s="655"/>
      <c r="P19" s="50" t="s">
        <v>195</v>
      </c>
      <c r="Q19" s="691" t="s">
        <v>196</v>
      </c>
      <c r="R19" s="692"/>
      <c r="S19" s="49"/>
      <c r="T19" s="655">
        <f>供用日!L20</f>
        <v>24</v>
      </c>
      <c r="U19" s="655"/>
      <c r="V19" s="25" t="s">
        <v>195</v>
      </c>
      <c r="W19" s="681" t="s">
        <v>197</v>
      </c>
      <c r="X19" s="682"/>
      <c r="Y19" s="682"/>
      <c r="Z19" s="682"/>
      <c r="AA19" s="683"/>
      <c r="AB19" s="684"/>
      <c r="AC19" s="685"/>
      <c r="AD19" s="688"/>
      <c r="AE19" s="688"/>
      <c r="AF19" s="689"/>
      <c r="AG19" s="55"/>
      <c r="AH19" s="493"/>
      <c r="AI19" s="494"/>
      <c r="AJ19" s="494"/>
      <c r="AK19" s="494"/>
      <c r="AL19" s="494"/>
      <c r="AM19" s="495"/>
      <c r="AN19" s="493"/>
      <c r="AO19" s="494"/>
      <c r="AP19" s="494"/>
      <c r="AQ19" s="494"/>
      <c r="AR19" s="495"/>
      <c r="AS19" s="496" t="s">
        <v>1402</v>
      </c>
      <c r="AT19" s="497"/>
      <c r="AU19" s="497"/>
      <c r="AV19" s="497"/>
      <c r="AW19" s="497"/>
      <c r="AX19" s="497"/>
      <c r="AY19" s="497"/>
      <c r="AZ19" s="498"/>
      <c r="BA19" s="481" t="s">
        <v>181</v>
      </c>
      <c r="BB19" s="482"/>
      <c r="BC19" s="482"/>
      <c r="BD19" s="482"/>
      <c r="BE19" s="482"/>
      <c r="BF19" s="482"/>
      <c r="BG19" s="482"/>
      <c r="BH19" s="482"/>
      <c r="BI19" s="482"/>
      <c r="BJ19" s="482"/>
      <c r="BK19" s="482"/>
      <c r="BL19" s="482"/>
      <c r="BM19" s="482"/>
      <c r="BN19" s="482"/>
      <c r="BO19" s="482"/>
      <c r="BP19" s="482"/>
      <c r="BQ19" s="482"/>
      <c r="BR19" s="482"/>
      <c r="BS19" s="482"/>
      <c r="BT19" s="482"/>
      <c r="BU19" s="482"/>
      <c r="BV19" s="482"/>
      <c r="BW19" s="483"/>
      <c r="BX19" s="484" t="s">
        <v>182</v>
      </c>
      <c r="BY19" s="485"/>
      <c r="BZ19" s="485"/>
      <c r="CA19" s="485"/>
      <c r="CB19" s="485"/>
      <c r="CC19" s="485"/>
      <c r="CD19" s="485"/>
      <c r="CE19" s="485"/>
      <c r="CF19" s="485"/>
      <c r="CG19" s="485"/>
      <c r="CH19" s="485"/>
      <c r="CI19" s="485"/>
      <c r="CJ19" s="486"/>
    </row>
    <row r="20" spans="1:88" x14ac:dyDescent="0.15">
      <c r="A20" s="634" t="s">
        <v>199</v>
      </c>
      <c r="B20" s="634"/>
      <c r="C20" s="635"/>
      <c r="D20" s="140">
        <v>11</v>
      </c>
      <c r="E20" s="92" t="str">
        <f>IF(H15=50,"【5.5・7.5・11】",IF(H15=80,"【7.5・11・15・18.5・22】","【22・30・37・45】"))</f>
        <v>【7.5・11・15・18.5・22】</v>
      </c>
      <c r="F20" s="41"/>
      <c r="G20" s="447"/>
      <c r="H20" s="19"/>
      <c r="I20" s="19"/>
      <c r="J20" s="19"/>
      <c r="K20" s="19"/>
      <c r="L20" s="656" t="s">
        <v>200</v>
      </c>
      <c r="M20" s="657"/>
      <c r="N20" s="657"/>
      <c r="O20" s="657"/>
      <c r="P20" s="658"/>
      <c r="Q20" s="563" t="s">
        <v>201</v>
      </c>
      <c r="R20" s="566"/>
      <c r="S20" s="566"/>
      <c r="T20" s="566"/>
      <c r="U20" s="566"/>
      <c r="V20" s="567"/>
      <c r="W20" s="651"/>
      <c r="X20" s="615"/>
      <c r="Y20" s="615"/>
      <c r="Z20" s="615"/>
      <c r="AA20" s="624"/>
      <c r="AB20" s="631"/>
      <c r="AC20" s="632"/>
      <c r="AD20" s="632"/>
      <c r="AE20" s="632"/>
      <c r="AF20" s="633"/>
      <c r="AG20" s="55"/>
      <c r="AH20" s="20"/>
      <c r="AI20" s="20"/>
      <c r="AJ20" s="20" t="s">
        <v>191</v>
      </c>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row>
    <row r="21" spans="1:88" ht="14.25" x14ac:dyDescent="0.15">
      <c r="A21" s="634" t="s">
        <v>203</v>
      </c>
      <c r="B21" s="634"/>
      <c r="C21" s="635"/>
      <c r="D21" s="140">
        <v>11</v>
      </c>
      <c r="E21" s="94" t="str">
        <f>IF(H15=50,"【5.5・7.5・11】",IF(H15=80,"【7.5・11・15・18.5・22】","【22・30・37・45】"))</f>
        <v>【7.5・11・15・18.5・22】</v>
      </c>
      <c r="F21" s="41"/>
      <c r="G21" s="447"/>
      <c r="H21" s="42"/>
      <c r="I21" s="43"/>
      <c r="J21" s="19"/>
      <c r="K21" s="19"/>
      <c r="L21" s="659">
        <f>積算代価!G40</f>
        <v>16176356.715337735</v>
      </c>
      <c r="M21" s="660"/>
      <c r="N21" s="660"/>
      <c r="O21" s="660"/>
      <c r="P21" s="661"/>
      <c r="Q21" s="652" t="s">
        <v>204</v>
      </c>
      <c r="R21" s="653"/>
      <c r="S21" s="654"/>
      <c r="T21" s="587">
        <f>COUNT(M3:N17)</f>
        <v>1</v>
      </c>
      <c r="U21" s="587"/>
      <c r="V21" s="44" t="s">
        <v>205</v>
      </c>
      <c r="W21" s="651"/>
      <c r="X21" s="615"/>
      <c r="Y21" s="615"/>
      <c r="Z21" s="615"/>
      <c r="AA21" s="624"/>
      <c r="AB21" s="631"/>
      <c r="AC21" s="665"/>
      <c r="AD21" s="632"/>
      <c r="AE21" s="632"/>
      <c r="AF21" s="633"/>
      <c r="AG21" s="55"/>
      <c r="AH21" s="20"/>
      <c r="AI21" s="20"/>
      <c r="AJ21" s="20"/>
      <c r="AK21" s="20"/>
      <c r="AL21" s="20"/>
      <c r="AM21" s="20" t="s">
        <v>198</v>
      </c>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row>
    <row r="22" spans="1:88" x14ac:dyDescent="0.15">
      <c r="A22" s="669" t="s">
        <v>207</v>
      </c>
      <c r="B22" s="669"/>
      <c r="C22" s="669"/>
      <c r="D22" s="140">
        <v>7.5</v>
      </c>
      <c r="E22" s="94" t="str">
        <f>IF(H15=50,"【5.5・7.5・11】",IF(H15=80,"【5.5・7.5・11・15・18.5・22】","【15・18.5・22・30・37・45】"))</f>
        <v>【5.5・7.5・11・15・18.5・22】</v>
      </c>
      <c r="F22" s="19"/>
      <c r="G22" s="19"/>
      <c r="H22" s="19"/>
      <c r="I22" s="19"/>
      <c r="J22" s="19"/>
      <c r="K22" s="19"/>
      <c r="L22" s="662" t="s">
        <v>208</v>
      </c>
      <c r="M22" s="663"/>
      <c r="N22" s="663"/>
      <c r="O22" s="663"/>
      <c r="P22" s="664"/>
      <c r="Q22" s="602" t="s">
        <v>209</v>
      </c>
      <c r="R22" s="603"/>
      <c r="S22" s="604"/>
      <c r="T22" s="588">
        <f>COUNTIF(S4:S17,"=1")+1</f>
        <v>1</v>
      </c>
      <c r="U22" s="588"/>
      <c r="V22" s="45" t="s">
        <v>210</v>
      </c>
      <c r="W22" s="651"/>
      <c r="X22" s="615"/>
      <c r="Y22" s="615"/>
      <c r="Z22" s="615"/>
      <c r="AA22" s="624"/>
      <c r="AB22" s="631"/>
      <c r="AC22" s="665"/>
      <c r="AD22" s="632"/>
      <c r="AE22" s="632"/>
      <c r="AF22" s="633"/>
      <c r="AG22" s="55"/>
      <c r="AH22" s="20"/>
      <c r="AI22" s="20"/>
      <c r="AJ22" s="20"/>
      <c r="AK22" s="20"/>
      <c r="AL22" s="20"/>
      <c r="AM22" s="20" t="s">
        <v>202</v>
      </c>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row>
    <row r="23" spans="1:88" ht="14.25" x14ac:dyDescent="0.15">
      <c r="A23" s="106" t="s">
        <v>212</v>
      </c>
      <c r="B23" s="448"/>
      <c r="C23" s="46"/>
      <c r="D23" s="29">
        <v>0</v>
      </c>
      <c r="E23" s="55" t="s">
        <v>213</v>
      </c>
      <c r="F23" s="675" t="s">
        <v>214</v>
      </c>
      <c r="G23" s="675"/>
      <c r="H23" s="676"/>
      <c r="I23" s="159">
        <v>3.1</v>
      </c>
      <c r="J23" s="19" t="s">
        <v>215</v>
      </c>
      <c r="K23" s="19"/>
      <c r="L23" s="659">
        <f>ROUND(L21/M18,0)</f>
        <v>161764</v>
      </c>
      <c r="M23" s="660"/>
      <c r="N23" s="660"/>
      <c r="O23" s="660"/>
      <c r="P23" s="661"/>
      <c r="Q23" s="602" t="s">
        <v>216</v>
      </c>
      <c r="R23" s="603"/>
      <c r="S23" s="604"/>
      <c r="T23" s="588"/>
      <c r="U23" s="588"/>
      <c r="V23" s="45" t="s">
        <v>217</v>
      </c>
      <c r="W23" s="651"/>
      <c r="X23" s="615"/>
      <c r="Y23" s="615"/>
      <c r="Z23" s="615"/>
      <c r="AA23" s="624"/>
      <c r="AB23" s="631"/>
      <c r="AC23" s="632"/>
      <c r="AD23" s="632"/>
      <c r="AE23" s="632"/>
      <c r="AF23" s="633"/>
      <c r="AG23" s="55"/>
      <c r="AH23" s="20"/>
      <c r="AI23" s="20"/>
      <c r="AJ23" s="20"/>
      <c r="AK23" s="20"/>
      <c r="AL23" s="20"/>
      <c r="AM23" s="20" t="s">
        <v>206</v>
      </c>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row>
    <row r="24" spans="1:88" ht="14.25" thickBot="1" x14ac:dyDescent="0.2">
      <c r="A24" s="27" t="s">
        <v>219</v>
      </c>
      <c r="B24" s="46"/>
      <c r="C24" s="448"/>
      <c r="D24" s="574">
        <v>0</v>
      </c>
      <c r="E24" s="575"/>
      <c r="F24" s="593" t="s">
        <v>220</v>
      </c>
      <c r="G24" s="594"/>
      <c r="H24" s="595"/>
      <c r="I24" s="160">
        <v>2</v>
      </c>
      <c r="J24" s="55" t="s">
        <v>221</v>
      </c>
      <c r="K24" s="55"/>
      <c r="L24" s="609" t="s">
        <v>222</v>
      </c>
      <c r="M24" s="610"/>
      <c r="N24" s="610"/>
      <c r="O24" s="610"/>
      <c r="P24" s="611"/>
      <c r="Q24" s="602" t="s">
        <v>223</v>
      </c>
      <c r="R24" s="603"/>
      <c r="S24" s="604"/>
      <c r="T24" s="590">
        <f>T21-T23</f>
        <v>1</v>
      </c>
      <c r="U24" s="590"/>
      <c r="V24" s="430" t="s">
        <v>217</v>
      </c>
      <c r="W24" s="619"/>
      <c r="X24" s="620"/>
      <c r="Y24" s="620"/>
      <c r="Z24" s="620"/>
      <c r="AA24" s="621"/>
      <c r="AB24" s="631"/>
      <c r="AC24" s="632"/>
      <c r="AD24" s="632"/>
      <c r="AE24" s="632"/>
      <c r="AF24" s="633"/>
      <c r="AG24" s="55"/>
      <c r="AH24" s="20"/>
      <c r="AI24" s="20"/>
      <c r="AJ24" s="20"/>
      <c r="AK24" s="20"/>
      <c r="AL24" s="20"/>
      <c r="AM24" s="20" t="s">
        <v>211</v>
      </c>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row>
    <row r="25" spans="1:88" ht="15" thickBot="1" x14ac:dyDescent="0.2">
      <c r="A25" s="27" t="s">
        <v>225</v>
      </c>
      <c r="B25" s="46"/>
      <c r="C25" s="448"/>
      <c r="D25" s="574">
        <v>0</v>
      </c>
      <c r="E25" s="575"/>
      <c r="F25" s="596" t="s">
        <v>226</v>
      </c>
      <c r="G25" s="597"/>
      <c r="H25" s="598"/>
      <c r="I25" s="161">
        <v>0</v>
      </c>
      <c r="J25" s="131" t="s">
        <v>227</v>
      </c>
      <c r="K25" s="19"/>
      <c r="L25" s="612">
        <f>M18/R18</f>
        <v>7.1428571428571432</v>
      </c>
      <c r="M25" s="613"/>
      <c r="N25" s="613"/>
      <c r="O25" s="613"/>
      <c r="P25" s="89" t="s">
        <v>228</v>
      </c>
      <c r="Q25" s="607" t="s">
        <v>229</v>
      </c>
      <c r="R25" s="608"/>
      <c r="S25" s="608"/>
      <c r="T25" s="672" t="str">
        <f>IF(推力計算!H140="＞＝","OK","再検討")</f>
        <v>OK</v>
      </c>
      <c r="U25" s="673"/>
      <c r="V25" s="674"/>
      <c r="W25" s="615"/>
      <c r="X25" s="615"/>
      <c r="Y25" s="615"/>
      <c r="Z25" s="615"/>
      <c r="AA25" s="624"/>
      <c r="AB25" s="614"/>
      <c r="AC25" s="627"/>
      <c r="AD25" s="628"/>
      <c r="AE25" s="626"/>
      <c r="AF25" s="616"/>
      <c r="AG25" s="55"/>
      <c r="AH25" s="20"/>
      <c r="AI25" s="20"/>
      <c r="AJ25" s="20" t="s">
        <v>218</v>
      </c>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row>
    <row r="26" spans="1:88" x14ac:dyDescent="0.15">
      <c r="A26" s="27" t="s">
        <v>230</v>
      </c>
      <c r="B26" s="46"/>
      <c r="C26" s="448"/>
      <c r="D26" s="574">
        <v>0</v>
      </c>
      <c r="E26" s="575"/>
      <c r="F26" s="599" t="s">
        <v>231</v>
      </c>
      <c r="G26" s="600"/>
      <c r="H26" s="601"/>
      <c r="I26" s="162">
        <v>0</v>
      </c>
      <c r="J26" s="131" t="s">
        <v>227</v>
      </c>
      <c r="K26" s="19"/>
      <c r="L26" s="368" t="s">
        <v>232</v>
      </c>
      <c r="M26" s="134"/>
      <c r="N26" s="605">
        <v>0</v>
      </c>
      <c r="O26" s="606"/>
      <c r="P26" s="132" t="s">
        <v>233</v>
      </c>
      <c r="Q26" s="133"/>
      <c r="R26" s="133"/>
      <c r="S26" s="133"/>
      <c r="T26" s="589"/>
      <c r="U26" s="589"/>
      <c r="V26" s="431"/>
      <c r="W26" s="401" t="s">
        <v>234</v>
      </c>
      <c r="X26" s="52"/>
      <c r="Y26" s="400"/>
      <c r="Z26" s="52"/>
      <c r="AA26" s="53"/>
      <c r="AB26" s="617" t="s">
        <v>235</v>
      </c>
      <c r="AC26" s="618"/>
      <c r="AD26" s="622">
        <v>10</v>
      </c>
      <c r="AE26" s="623"/>
      <c r="AF26" s="450" t="s">
        <v>137</v>
      </c>
      <c r="AG26" s="55"/>
      <c r="AH26" s="405" t="s">
        <v>224</v>
      </c>
      <c r="AI26" s="405"/>
      <c r="AJ26" s="405"/>
      <c r="AK26" s="405"/>
      <c r="AL26" s="405"/>
      <c r="AM26" s="405"/>
      <c r="AN26" s="405"/>
      <c r="AO26" s="405"/>
      <c r="AP26" s="405"/>
      <c r="AQ26" s="405"/>
      <c r="AR26" s="405"/>
      <c r="AS26" s="405"/>
      <c r="AT26" s="405"/>
      <c r="AU26" s="405"/>
      <c r="AV26" s="405"/>
      <c r="AW26" s="405"/>
      <c r="AX26" s="405"/>
      <c r="AY26" s="405"/>
      <c r="AZ26" s="405"/>
      <c r="BA26" s="405"/>
      <c r="BB26" s="405"/>
      <c r="BC26" s="405"/>
      <c r="BD26" s="405"/>
      <c r="BE26" s="405"/>
      <c r="BF26" s="405"/>
      <c r="BG26" s="405"/>
      <c r="BH26" s="405"/>
      <c r="BI26" s="405"/>
      <c r="BJ26" s="405"/>
      <c r="BK26" s="405"/>
      <c r="BL26" s="405"/>
      <c r="BM26" s="405"/>
      <c r="BN26" s="405"/>
      <c r="BO26" s="405"/>
      <c r="BP26" s="405"/>
      <c r="BQ26" s="405"/>
      <c r="BR26" s="405"/>
      <c r="BS26" s="405"/>
      <c r="BT26" s="405"/>
      <c r="BU26" s="405"/>
      <c r="BV26" s="405"/>
      <c r="BW26" s="405"/>
      <c r="BX26" s="405"/>
      <c r="BY26" s="405"/>
      <c r="BZ26" s="405"/>
      <c r="CA26" s="405"/>
      <c r="CB26" s="405"/>
      <c r="CC26" s="405"/>
      <c r="CD26" s="405"/>
      <c r="CE26" s="405"/>
      <c r="CF26" s="405"/>
      <c r="CG26" s="20"/>
      <c r="CH26" s="20"/>
      <c r="CI26" s="20"/>
      <c r="CJ26" s="20"/>
    </row>
    <row r="27" spans="1:88" x14ac:dyDescent="0.15">
      <c r="A27" s="27" t="s">
        <v>236</v>
      </c>
      <c r="B27" s="46"/>
      <c r="C27" s="448"/>
      <c r="D27" s="574">
        <v>0</v>
      </c>
      <c r="E27" s="575"/>
      <c r="F27" s="46" t="s">
        <v>237</v>
      </c>
      <c r="G27" s="19"/>
      <c r="H27" s="19"/>
      <c r="I27" s="160">
        <v>15</v>
      </c>
      <c r="J27" s="19" t="s">
        <v>238</v>
      </c>
      <c r="K27" s="19"/>
      <c r="L27" s="576" t="s">
        <v>239</v>
      </c>
      <c r="M27" s="577"/>
      <c r="N27" s="577"/>
      <c r="O27" s="577"/>
      <c r="P27" s="577"/>
      <c r="Q27" s="577"/>
      <c r="R27" s="577"/>
      <c r="S27" s="577"/>
      <c r="T27" s="577"/>
      <c r="U27" s="577"/>
      <c r="V27" s="578"/>
      <c r="W27" s="625"/>
      <c r="X27" s="626"/>
      <c r="Y27" s="626"/>
      <c r="Z27" s="626"/>
      <c r="AA27" s="624"/>
      <c r="AB27" s="614"/>
      <c r="AC27" s="615"/>
      <c r="AD27" s="627"/>
      <c r="AE27" s="627"/>
      <c r="AF27" s="616"/>
      <c r="AG27" s="55"/>
      <c r="AH27" s="55"/>
    </row>
    <row r="28" spans="1:88" x14ac:dyDescent="0.15">
      <c r="A28" s="27" t="s">
        <v>240</v>
      </c>
      <c r="B28" s="46"/>
      <c r="C28" s="448"/>
      <c r="D28" s="574">
        <v>0</v>
      </c>
      <c r="E28" s="575"/>
      <c r="F28" s="46" t="s">
        <v>241</v>
      </c>
      <c r="G28" s="19"/>
      <c r="H28" s="19"/>
      <c r="I28" s="140">
        <v>2</v>
      </c>
      <c r="J28" s="19"/>
      <c r="K28" s="19"/>
      <c r="L28" s="79" t="s">
        <v>242</v>
      </c>
      <c r="M28" s="80"/>
      <c r="N28" s="81" t="s">
        <v>243</v>
      </c>
      <c r="O28" s="81" t="s">
        <v>244</v>
      </c>
      <c r="P28" s="81" t="s">
        <v>245</v>
      </c>
      <c r="Q28" s="81" t="s">
        <v>100</v>
      </c>
      <c r="R28" s="446" t="s">
        <v>104</v>
      </c>
      <c r="S28" s="446" t="s">
        <v>110</v>
      </c>
      <c r="T28" s="668" t="s">
        <v>114</v>
      </c>
      <c r="U28" s="668"/>
      <c r="V28" s="171" t="s">
        <v>122</v>
      </c>
      <c r="W28" s="446" t="s">
        <v>128</v>
      </c>
      <c r="X28" s="446" t="s">
        <v>134</v>
      </c>
      <c r="Y28" s="446" t="s">
        <v>140</v>
      </c>
      <c r="Z28" s="82" t="s">
        <v>149</v>
      </c>
      <c r="AA28" s="443"/>
      <c r="AB28" s="614"/>
      <c r="AC28" s="615"/>
      <c r="AD28" s="615"/>
      <c r="AE28" s="615"/>
      <c r="AF28" s="616"/>
      <c r="AG28" s="55"/>
      <c r="AH28" s="55"/>
    </row>
    <row r="29" spans="1:88" ht="12.95" customHeight="1" x14ac:dyDescent="0.15">
      <c r="A29" s="55"/>
      <c r="B29" s="55"/>
      <c r="C29" s="55"/>
      <c r="D29" s="55"/>
      <c r="E29" s="55"/>
      <c r="F29" s="19"/>
      <c r="G29" s="37" t="s">
        <v>246</v>
      </c>
      <c r="H29" s="19"/>
      <c r="J29" s="19"/>
      <c r="K29" s="19"/>
      <c r="L29" s="83" t="s">
        <v>247</v>
      </c>
      <c r="M29" s="84"/>
      <c r="N29" s="445">
        <v>350</v>
      </c>
      <c r="O29" s="445">
        <v>250</v>
      </c>
      <c r="P29" s="445">
        <v>150</v>
      </c>
      <c r="Q29" s="175"/>
      <c r="R29" s="175"/>
      <c r="S29" s="445">
        <v>350</v>
      </c>
      <c r="T29" s="667">
        <v>100</v>
      </c>
      <c r="U29" s="667"/>
      <c r="V29" s="175"/>
      <c r="W29" s="176"/>
      <c r="X29" s="176"/>
      <c r="Y29" s="176"/>
      <c r="Z29" s="177"/>
      <c r="AA29" s="443"/>
      <c r="AB29" s="614"/>
      <c r="AC29" s="615"/>
      <c r="AD29" s="615"/>
      <c r="AE29" s="615"/>
      <c r="AF29" s="616"/>
      <c r="AG29" s="55"/>
      <c r="AH29" s="55"/>
    </row>
    <row r="30" spans="1:88" ht="12.95" customHeight="1" x14ac:dyDescent="0.15">
      <c r="A30" s="55"/>
      <c r="B30" s="55"/>
      <c r="C30" s="55"/>
      <c r="D30" s="55"/>
      <c r="E30" s="55"/>
      <c r="F30" s="19"/>
      <c r="G30" s="19"/>
      <c r="H30" s="19"/>
      <c r="I30" s="19"/>
      <c r="J30" s="19"/>
      <c r="K30" s="19"/>
      <c r="L30" s="172" t="s">
        <v>248</v>
      </c>
      <c r="M30" s="173"/>
      <c r="N30" s="444">
        <v>350</v>
      </c>
      <c r="O30" s="444">
        <v>250</v>
      </c>
      <c r="P30" s="444">
        <v>150</v>
      </c>
      <c r="Q30" s="444">
        <v>100</v>
      </c>
      <c r="R30" s="175"/>
      <c r="S30" s="444">
        <v>350</v>
      </c>
      <c r="T30" s="666">
        <v>150</v>
      </c>
      <c r="U30" s="666"/>
      <c r="V30" s="174">
        <v>100</v>
      </c>
      <c r="W30" s="176"/>
      <c r="X30" s="176"/>
      <c r="Y30" s="176"/>
      <c r="Z30" s="177"/>
      <c r="AA30" s="170"/>
      <c r="AB30" s="629"/>
      <c r="AC30" s="629"/>
      <c r="AD30" s="629"/>
      <c r="AE30" s="629"/>
      <c r="AF30" s="630"/>
      <c r="AG30" s="55"/>
      <c r="AH30" s="55"/>
    </row>
    <row r="31" spans="1:88" ht="12.95" customHeight="1" thickBot="1" x14ac:dyDescent="0.2">
      <c r="A31" s="27" t="s">
        <v>249</v>
      </c>
      <c r="B31" s="55"/>
      <c r="C31" s="55"/>
      <c r="D31" s="572">
        <v>1.5</v>
      </c>
      <c r="E31" s="573"/>
      <c r="F31" s="55" t="s">
        <v>250</v>
      </c>
      <c r="G31" s="55"/>
      <c r="H31" s="55"/>
      <c r="I31" s="55"/>
      <c r="J31" s="55"/>
      <c r="K31" s="55"/>
      <c r="L31" s="579" t="s">
        <v>251</v>
      </c>
      <c r="M31" s="580"/>
      <c r="N31" s="406">
        <v>500</v>
      </c>
      <c r="O31" s="406">
        <v>400</v>
      </c>
      <c r="P31" s="406">
        <v>200</v>
      </c>
      <c r="Q31" s="406">
        <v>250</v>
      </c>
      <c r="R31" s="406">
        <v>200</v>
      </c>
      <c r="S31" s="406">
        <v>500</v>
      </c>
      <c r="T31" s="581">
        <v>250</v>
      </c>
      <c r="U31" s="582"/>
      <c r="V31" s="406">
        <v>150</v>
      </c>
      <c r="W31" s="406">
        <v>100</v>
      </c>
      <c r="X31" s="406">
        <v>80</v>
      </c>
      <c r="Y31" s="406">
        <v>50</v>
      </c>
      <c r="Z31" s="407">
        <v>35</v>
      </c>
      <c r="AA31" s="55"/>
      <c r="AB31" s="55"/>
      <c r="AC31" s="55"/>
      <c r="AD31" s="55"/>
      <c r="AE31" s="55"/>
      <c r="AF31" s="64"/>
      <c r="AG31" s="55"/>
      <c r="AH31" s="55"/>
    </row>
    <row r="32" spans="1:88" ht="12.95" customHeight="1" x14ac:dyDescent="0.15">
      <c r="A32" s="93" t="s">
        <v>252</v>
      </c>
      <c r="B32" s="55"/>
      <c r="C32" s="55"/>
      <c r="D32" s="422">
        <v>1</v>
      </c>
      <c r="E32" s="55" t="s">
        <v>253</v>
      </c>
      <c r="F32" s="408" t="s">
        <v>254</v>
      </c>
      <c r="G32" s="409"/>
      <c r="H32" s="410"/>
      <c r="I32" s="410"/>
      <c r="J32" s="410"/>
      <c r="K32" s="410"/>
      <c r="L32" s="410"/>
      <c r="M32" s="410"/>
      <c r="N32" s="410"/>
      <c r="O32" s="410"/>
      <c r="P32" s="410"/>
      <c r="Q32" s="410"/>
      <c r="R32" s="410"/>
      <c r="S32" s="410"/>
      <c r="T32" s="410"/>
      <c r="U32" s="410"/>
      <c r="V32" s="410"/>
      <c r="W32" s="410"/>
      <c r="X32" s="410"/>
      <c r="Y32" s="410"/>
      <c r="Z32" s="410"/>
      <c r="AA32" s="410"/>
      <c r="AB32" s="410"/>
      <c r="AC32" s="410"/>
      <c r="AD32" s="410"/>
      <c r="AE32" s="410"/>
      <c r="AF32" s="410"/>
      <c r="AG32" s="411"/>
      <c r="AH32" s="55"/>
    </row>
    <row r="33" spans="1:34" ht="12.95" customHeight="1" x14ac:dyDescent="0.15">
      <c r="A33" s="166" t="s">
        <v>255</v>
      </c>
      <c r="B33" s="55"/>
      <c r="C33" s="55"/>
      <c r="D33" s="141">
        <v>10</v>
      </c>
      <c r="E33" s="55"/>
      <c r="F33" s="412" t="s">
        <v>256</v>
      </c>
      <c r="G33" s="94"/>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413"/>
      <c r="AH33" s="55"/>
    </row>
    <row r="34" spans="1:34" ht="12.95" customHeight="1" thickBot="1" x14ac:dyDescent="0.2">
      <c r="A34" s="166" t="s">
        <v>257</v>
      </c>
      <c r="B34" s="55"/>
      <c r="C34" s="55"/>
      <c r="D34" s="141">
        <v>5</v>
      </c>
      <c r="E34" s="55"/>
      <c r="F34" s="414" t="s">
        <v>258</v>
      </c>
      <c r="G34" s="415"/>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c r="AG34" s="417"/>
      <c r="AH34" s="55"/>
    </row>
    <row r="35" spans="1:34" ht="12.95" customHeight="1" x14ac:dyDescent="0.15">
      <c r="A35" s="363" t="s">
        <v>259</v>
      </c>
      <c r="B35" s="55"/>
      <c r="C35" s="55"/>
      <c r="D35" s="55"/>
      <c r="E35" s="55"/>
      <c r="F35" s="94"/>
      <c r="G35" s="94"/>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row>
    <row r="36" spans="1:34" x14ac:dyDescent="0.15">
      <c r="A36" s="55"/>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row>
    <row r="37" spans="1:34" x14ac:dyDescent="0.15">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H37" s="55"/>
    </row>
    <row r="38" spans="1:34" x14ac:dyDescent="0.15">
      <c r="A38" s="55"/>
      <c r="B38" s="55"/>
      <c r="C38" s="55"/>
      <c r="D38" s="55"/>
      <c r="E38" s="55"/>
      <c r="F38" s="55"/>
      <c r="G38" s="33"/>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H38" s="55"/>
    </row>
    <row r="39" spans="1:34" x14ac:dyDescent="0.15">
      <c r="A39" s="55"/>
      <c r="B39" s="55"/>
      <c r="C39" s="55"/>
      <c r="D39" s="55"/>
      <c r="E39" s="55"/>
      <c r="F39" s="55"/>
      <c r="G39" s="33"/>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row>
    <row r="40" spans="1:34" x14ac:dyDescent="0.15">
      <c r="A40" s="55"/>
      <c r="B40" s="55"/>
      <c r="C40" s="55"/>
      <c r="D40" s="55"/>
      <c r="E40" s="55"/>
      <c r="F40" s="55"/>
      <c r="G40" s="33"/>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row>
    <row r="41" spans="1:34" x14ac:dyDescent="0.15">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row>
    <row r="42" spans="1:34" x14ac:dyDescent="0.15">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row>
    <row r="43" spans="1:34" x14ac:dyDescent="0.15">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row>
    <row r="44" spans="1:34" x14ac:dyDescent="0.15">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row>
    <row r="45" spans="1:34" x14ac:dyDescent="0.15">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row>
    <row r="46" spans="1:34" x14ac:dyDescent="0.15">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row>
    <row r="47" spans="1:34" x14ac:dyDescent="0.15">
      <c r="A47" s="55"/>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row>
    <row r="49" spans="5:5" x14ac:dyDescent="0.15">
      <c r="E49" s="432"/>
    </row>
  </sheetData>
  <mergeCells count="206">
    <mergeCell ref="A14:C14"/>
    <mergeCell ref="AB21:AC21"/>
    <mergeCell ref="Z13:AA13"/>
    <mergeCell ref="Z15:AA15"/>
    <mergeCell ref="X18:AA18"/>
    <mergeCell ref="Z14:AA14"/>
    <mergeCell ref="Z17:AA17"/>
    <mergeCell ref="Z16:AA16"/>
    <mergeCell ref="W20:AA20"/>
    <mergeCell ref="W19:AA19"/>
    <mergeCell ref="AB19:AC19"/>
    <mergeCell ref="U18:W18"/>
    <mergeCell ref="AB20:AF20"/>
    <mergeCell ref="AD19:AF19"/>
    <mergeCell ref="AD18:AE18"/>
    <mergeCell ref="Q20:V20"/>
    <mergeCell ref="Q19:R19"/>
    <mergeCell ref="I13:J13"/>
    <mergeCell ref="T19:U19"/>
    <mergeCell ref="T15:U15"/>
    <mergeCell ref="R18:S18"/>
    <mergeCell ref="P18:Q18"/>
    <mergeCell ref="T14:U14"/>
    <mergeCell ref="M17:N17"/>
    <mergeCell ref="A15:C15"/>
    <mergeCell ref="T30:U30"/>
    <mergeCell ref="T29:U29"/>
    <mergeCell ref="T28:U28"/>
    <mergeCell ref="L23:P23"/>
    <mergeCell ref="A21:C21"/>
    <mergeCell ref="A22:C22"/>
    <mergeCell ref="A20:C20"/>
    <mergeCell ref="A16:C16"/>
    <mergeCell ref="T25:V25"/>
    <mergeCell ref="D24:E24"/>
    <mergeCell ref="D25:E25"/>
    <mergeCell ref="D26:E26"/>
    <mergeCell ref="F23:H23"/>
    <mergeCell ref="M18:N18"/>
    <mergeCell ref="T16:U16"/>
    <mergeCell ref="T17:U17"/>
    <mergeCell ref="Q23:S23"/>
    <mergeCell ref="M6:N6"/>
    <mergeCell ref="Z10:AA10"/>
    <mergeCell ref="T9:U9"/>
    <mergeCell ref="T8:U8"/>
    <mergeCell ref="T10:U10"/>
    <mergeCell ref="T11:U11"/>
    <mergeCell ref="T12:U12"/>
    <mergeCell ref="T7:U7"/>
    <mergeCell ref="T13:U13"/>
    <mergeCell ref="Z11:AA11"/>
    <mergeCell ref="Z12:AA12"/>
    <mergeCell ref="M8:N8"/>
    <mergeCell ref="M9:N9"/>
    <mergeCell ref="M10:N10"/>
    <mergeCell ref="M11:N11"/>
    <mergeCell ref="M12:N12"/>
    <mergeCell ref="M7:N7"/>
    <mergeCell ref="AB23:AF23"/>
    <mergeCell ref="W23:AA23"/>
    <mergeCell ref="Q21:S21"/>
    <mergeCell ref="Z8:AA8"/>
    <mergeCell ref="Z9:AA9"/>
    <mergeCell ref="N19:O19"/>
    <mergeCell ref="L20:P20"/>
    <mergeCell ref="L21:P21"/>
    <mergeCell ref="L22:P22"/>
    <mergeCell ref="AD21:AF21"/>
    <mergeCell ref="AD22:AF22"/>
    <mergeCell ref="Q22:S22"/>
    <mergeCell ref="W21:AA21"/>
    <mergeCell ref="AB22:AC22"/>
    <mergeCell ref="W22:AA22"/>
    <mergeCell ref="A13:C13"/>
    <mergeCell ref="A12:C12"/>
    <mergeCell ref="A10:C10"/>
    <mergeCell ref="A8:C8"/>
    <mergeCell ref="D8:G8"/>
    <mergeCell ref="A9:C9"/>
    <mergeCell ref="D6:J6"/>
    <mergeCell ref="D7:J7"/>
    <mergeCell ref="A7:C7"/>
    <mergeCell ref="A6:C6"/>
    <mergeCell ref="I11:J11"/>
    <mergeCell ref="I12:J12"/>
    <mergeCell ref="I10:J10"/>
    <mergeCell ref="AB28:AF28"/>
    <mergeCell ref="AB26:AC26"/>
    <mergeCell ref="W24:AA24"/>
    <mergeCell ref="AD26:AE26"/>
    <mergeCell ref="W25:AA25"/>
    <mergeCell ref="W27:AA27"/>
    <mergeCell ref="AB25:AF25"/>
    <mergeCell ref="AB27:AF27"/>
    <mergeCell ref="AB30:AF30"/>
    <mergeCell ref="AB24:AF24"/>
    <mergeCell ref="AB29:AF29"/>
    <mergeCell ref="D31:E31"/>
    <mergeCell ref="D28:E28"/>
    <mergeCell ref="D27:E27"/>
    <mergeCell ref="L27:V27"/>
    <mergeCell ref="L31:M31"/>
    <mergeCell ref="T31:U31"/>
    <mergeCell ref="M13:N13"/>
    <mergeCell ref="M14:N14"/>
    <mergeCell ref="M15:N15"/>
    <mergeCell ref="M16:N16"/>
    <mergeCell ref="T21:U21"/>
    <mergeCell ref="T22:U22"/>
    <mergeCell ref="T23:U23"/>
    <mergeCell ref="T26:U26"/>
    <mergeCell ref="T24:U24"/>
    <mergeCell ref="L19:M19"/>
    <mergeCell ref="F24:H24"/>
    <mergeCell ref="F25:H25"/>
    <mergeCell ref="F26:H26"/>
    <mergeCell ref="Q24:S24"/>
    <mergeCell ref="N26:O26"/>
    <mergeCell ref="Q25:S25"/>
    <mergeCell ref="L24:P24"/>
    <mergeCell ref="L25:O25"/>
    <mergeCell ref="L1:N1"/>
    <mergeCell ref="L2:N2"/>
    <mergeCell ref="AD1:AF2"/>
    <mergeCell ref="AE3:AF3"/>
    <mergeCell ref="AE4:AF4"/>
    <mergeCell ref="AE5:AF5"/>
    <mergeCell ref="T4:U4"/>
    <mergeCell ref="T5:U5"/>
    <mergeCell ref="T6:U6"/>
    <mergeCell ref="O2:P2"/>
    <mergeCell ref="Q2:R2"/>
    <mergeCell ref="Z1:AA1"/>
    <mergeCell ref="X2:Y2"/>
    <mergeCell ref="Z2:AA2"/>
    <mergeCell ref="S2:U2"/>
    <mergeCell ref="Z5:AA5"/>
    <mergeCell ref="Z6:AA6"/>
    <mergeCell ref="AE6:AF6"/>
    <mergeCell ref="O1:R1"/>
    <mergeCell ref="V1:Y1"/>
    <mergeCell ref="S1:U1"/>
    <mergeCell ref="M3:N3"/>
    <mergeCell ref="M4:N4"/>
    <mergeCell ref="M5:N5"/>
    <mergeCell ref="BA12:BE12"/>
    <mergeCell ref="BF12:BW12"/>
    <mergeCell ref="BX12:CJ13"/>
    <mergeCell ref="BA13:BE13"/>
    <mergeCell ref="AH8:AM9"/>
    <mergeCell ref="AN8:AZ9"/>
    <mergeCell ref="AE7:AF7"/>
    <mergeCell ref="Z3:AA3"/>
    <mergeCell ref="T3:U3"/>
    <mergeCell ref="Z4:AA4"/>
    <mergeCell ref="AH4:AM5"/>
    <mergeCell ref="AN4:AZ5"/>
    <mergeCell ref="BA8:BE8"/>
    <mergeCell ref="BA4:BW4"/>
    <mergeCell ref="BX4:CJ5"/>
    <mergeCell ref="BA5:BW5"/>
    <mergeCell ref="AH6:AM7"/>
    <mergeCell ref="AN6:AZ7"/>
    <mergeCell ref="BA6:BE6"/>
    <mergeCell ref="BF6:BW6"/>
    <mergeCell ref="BX6:CJ7"/>
    <mergeCell ref="BA7:BE7"/>
    <mergeCell ref="BF7:BW7"/>
    <mergeCell ref="Z7:AA7"/>
    <mergeCell ref="BF8:BW8"/>
    <mergeCell ref="BX8:CJ9"/>
    <mergeCell ref="BA9:BE9"/>
    <mergeCell ref="BF9:BW9"/>
    <mergeCell ref="AE8:AF8"/>
    <mergeCell ref="AE9:AF9"/>
    <mergeCell ref="AH10:AM11"/>
    <mergeCell ref="BA10:BW10"/>
    <mergeCell ref="BX10:CJ11"/>
    <mergeCell ref="BA11:BW11"/>
    <mergeCell ref="AE10:AF10"/>
    <mergeCell ref="AE11:AF11"/>
    <mergeCell ref="BA19:BW19"/>
    <mergeCell ref="BX19:CJ19"/>
    <mergeCell ref="AN17:AR19"/>
    <mergeCell ref="AS18:AZ18"/>
    <mergeCell ref="AS19:AZ19"/>
    <mergeCell ref="AS17:AZ17"/>
    <mergeCell ref="BF13:BW13"/>
    <mergeCell ref="AH16:AM16"/>
    <mergeCell ref="AN16:AZ16"/>
    <mergeCell ref="BA16:BW16"/>
    <mergeCell ref="BX16:CJ16"/>
    <mergeCell ref="AH17:AM19"/>
    <mergeCell ref="BA17:BW17"/>
    <mergeCell ref="BX17:CJ17"/>
    <mergeCell ref="BA18:BW18"/>
    <mergeCell ref="BX18:CJ18"/>
    <mergeCell ref="AH14:AM15"/>
    <mergeCell ref="AN10:AZ15"/>
    <mergeCell ref="BA14:BE14"/>
    <mergeCell ref="BA15:BE15"/>
    <mergeCell ref="BF14:BW14"/>
    <mergeCell ref="BF15:BW15"/>
    <mergeCell ref="BX14:CJ15"/>
    <mergeCell ref="AH12:AM13"/>
  </mergeCells>
  <phoneticPr fontId="2"/>
  <dataValidations count="1">
    <dataValidation imeMode="on" allowBlank="1" showInputMessage="1" showErrorMessage="1" sqref="D6:J6" xr:uid="{F08E2D9B-8A9A-4AEA-B1F0-0324521E9310}"/>
  </dataValidations>
  <pageMargins left="0.75" right="0.75" top="1" bottom="1" header="0.51200000000000001" footer="0.51200000000000001"/>
  <pageSetup paperSize="9" orientation="landscape"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2E7B-195F-4AFF-B1A6-E554A7101B0F}">
  <sheetPr codeName="Sheet2">
    <tabColor rgb="FFFF0000"/>
  </sheetPr>
  <dimension ref="A1:V666"/>
  <sheetViews>
    <sheetView showGridLines="0" view="pageBreakPreview" zoomScale="85" zoomScaleNormal="100" zoomScaleSheetLayoutView="85" workbookViewId="0">
      <selection activeCell="L584" sqref="L584:O584"/>
    </sheetView>
  </sheetViews>
  <sheetFormatPr defaultColWidth="9" defaultRowHeight="13.5" x14ac:dyDescent="0.15"/>
  <cols>
    <col min="1" max="7" width="4.75" style="1" customWidth="1"/>
    <col min="8" max="8" width="5.75" style="1" customWidth="1"/>
    <col min="9" max="26" width="4.75" style="1" customWidth="1"/>
    <col min="27" max="16384" width="9" style="1"/>
  </cols>
  <sheetData>
    <row r="1" spans="1:18" x14ac:dyDescent="0.15">
      <c r="A1" s="114"/>
      <c r="B1" s="114"/>
      <c r="C1" s="114"/>
      <c r="D1" s="114"/>
      <c r="E1" s="114"/>
      <c r="F1" s="114"/>
      <c r="G1" s="114"/>
      <c r="H1" s="114"/>
      <c r="I1" s="114"/>
      <c r="J1" s="114"/>
      <c r="K1" s="114"/>
      <c r="L1" s="114"/>
      <c r="M1" s="114"/>
      <c r="N1" s="114"/>
      <c r="O1" s="114"/>
      <c r="P1" s="114"/>
      <c r="Q1" s="114"/>
      <c r="R1" s="114"/>
    </row>
    <row r="2" spans="1:18" x14ac:dyDescent="0.15">
      <c r="A2" s="114"/>
      <c r="B2" s="114"/>
      <c r="C2" s="114"/>
      <c r="D2" s="114"/>
      <c r="E2" s="114"/>
      <c r="F2" s="114"/>
      <c r="G2" s="114"/>
      <c r="H2" s="114"/>
      <c r="I2" s="114"/>
      <c r="J2" s="114"/>
      <c r="K2" s="114"/>
      <c r="L2" s="114"/>
      <c r="M2" s="114"/>
      <c r="N2" s="733"/>
      <c r="O2" s="733"/>
      <c r="P2" s="733"/>
      <c r="Q2" s="733"/>
      <c r="R2" s="114"/>
    </row>
    <row r="3" spans="1:18" x14ac:dyDescent="0.15">
      <c r="A3" s="114"/>
      <c r="B3" s="114"/>
      <c r="C3" s="114"/>
      <c r="D3" s="114"/>
      <c r="E3" s="114"/>
      <c r="F3" s="114"/>
      <c r="G3" s="114"/>
      <c r="H3" s="114"/>
      <c r="I3" s="114"/>
      <c r="J3" s="114"/>
      <c r="K3" s="114"/>
      <c r="L3" s="114"/>
      <c r="M3" s="114"/>
      <c r="N3" s="114"/>
      <c r="O3" s="114"/>
      <c r="P3" s="114"/>
      <c r="Q3" s="114"/>
      <c r="R3" s="114"/>
    </row>
    <row r="4" spans="1:18" x14ac:dyDescent="0.15">
      <c r="A4" s="114"/>
      <c r="B4" s="114"/>
      <c r="C4" s="114"/>
      <c r="D4" s="114"/>
      <c r="E4" s="114"/>
      <c r="F4" s="114"/>
      <c r="G4" s="114"/>
      <c r="H4" s="114"/>
      <c r="I4" s="114"/>
      <c r="J4" s="114"/>
      <c r="K4" s="114"/>
      <c r="L4" s="114"/>
      <c r="M4" s="114"/>
      <c r="N4" s="741">
        <f ca="1">IF(条件入力!D6&gt;0,条件入力!D6,TODAY())</f>
        <v>45805</v>
      </c>
      <c r="O4" s="741"/>
      <c r="P4" s="741"/>
      <c r="Q4" s="741"/>
      <c r="R4" s="114"/>
    </row>
    <row r="5" spans="1:18" x14ac:dyDescent="0.15">
      <c r="A5" s="114"/>
      <c r="B5" s="114"/>
      <c r="C5" s="114"/>
      <c r="D5" s="114"/>
      <c r="E5" s="114"/>
      <c r="F5" s="114"/>
      <c r="G5" s="114"/>
      <c r="H5" s="114"/>
      <c r="I5" s="114"/>
      <c r="J5" s="114"/>
      <c r="K5" s="114"/>
      <c r="L5" s="114"/>
      <c r="M5" s="114"/>
      <c r="N5" s="114"/>
      <c r="O5" s="114"/>
      <c r="P5" s="114"/>
      <c r="Q5" s="114"/>
      <c r="R5" s="114"/>
    </row>
    <row r="6" spans="1:18" x14ac:dyDescent="0.15">
      <c r="A6" s="114"/>
      <c r="B6" s="114"/>
      <c r="C6" s="114"/>
      <c r="D6" s="743" t="s">
        <v>260</v>
      </c>
      <c r="E6" s="743"/>
      <c r="F6" s="743"/>
      <c r="G6" s="743"/>
      <c r="H6" s="743"/>
      <c r="I6" s="743"/>
      <c r="J6" s="743"/>
      <c r="K6" s="743"/>
      <c r="L6" s="743"/>
      <c r="M6" s="743"/>
      <c r="N6" s="743"/>
      <c r="O6" s="743"/>
      <c r="P6" s="114"/>
      <c r="Q6" s="114"/>
      <c r="R6" s="114"/>
    </row>
    <row r="7" spans="1:18" x14ac:dyDescent="0.15">
      <c r="A7" s="114"/>
      <c r="B7" s="114"/>
      <c r="C7" s="114"/>
      <c r="D7" s="743"/>
      <c r="E7" s="743"/>
      <c r="F7" s="743"/>
      <c r="G7" s="743"/>
      <c r="H7" s="743"/>
      <c r="I7" s="743"/>
      <c r="J7" s="743"/>
      <c r="K7" s="743"/>
      <c r="L7" s="743"/>
      <c r="M7" s="743"/>
      <c r="N7" s="743"/>
      <c r="O7" s="743"/>
      <c r="P7" s="114"/>
      <c r="Q7" s="114"/>
      <c r="R7" s="114"/>
    </row>
    <row r="8" spans="1:18" x14ac:dyDescent="0.15">
      <c r="A8" s="114"/>
      <c r="B8" s="114"/>
      <c r="C8" s="114"/>
      <c r="D8" s="743"/>
      <c r="E8" s="743"/>
      <c r="F8" s="743"/>
      <c r="G8" s="743"/>
      <c r="H8" s="743"/>
      <c r="I8" s="743"/>
      <c r="J8" s="743"/>
      <c r="K8" s="743"/>
      <c r="L8" s="743"/>
      <c r="M8" s="743"/>
      <c r="N8" s="743"/>
      <c r="O8" s="743"/>
      <c r="P8" s="114"/>
      <c r="Q8" s="114"/>
      <c r="R8" s="114"/>
    </row>
    <row r="9" spans="1:18" x14ac:dyDescent="0.15">
      <c r="A9" s="114"/>
      <c r="B9" s="114"/>
      <c r="C9" s="114"/>
      <c r="D9" s="114"/>
      <c r="E9" s="114"/>
      <c r="F9" s="114"/>
      <c r="G9" s="114"/>
      <c r="H9" s="114"/>
      <c r="I9" s="114"/>
      <c r="J9" s="114"/>
      <c r="K9" s="114"/>
      <c r="L9" s="114"/>
      <c r="M9" s="114"/>
      <c r="N9" s="114"/>
      <c r="O9" s="114"/>
      <c r="P9" s="114"/>
      <c r="Q9" s="114"/>
      <c r="R9" s="114"/>
    </row>
    <row r="10" spans="1:18" x14ac:dyDescent="0.15">
      <c r="A10" s="114"/>
      <c r="B10" s="114"/>
      <c r="C10" s="114"/>
      <c r="D10" s="114"/>
      <c r="E10" s="114"/>
      <c r="F10" s="114"/>
      <c r="G10" s="114"/>
      <c r="H10" s="114"/>
      <c r="I10" s="114"/>
      <c r="J10" s="114"/>
      <c r="K10" s="114"/>
      <c r="L10" s="114"/>
      <c r="M10" s="114"/>
      <c r="N10" s="114"/>
      <c r="O10" s="114"/>
      <c r="P10" s="114"/>
      <c r="Q10" s="114"/>
      <c r="R10" s="114"/>
    </row>
    <row r="11" spans="1:18" x14ac:dyDescent="0.15">
      <c r="A11" s="114"/>
      <c r="B11" s="114"/>
      <c r="C11" s="114"/>
      <c r="D11" s="114"/>
      <c r="E11" s="114"/>
      <c r="F11" s="114"/>
      <c r="G11" s="114"/>
      <c r="H11" s="114"/>
      <c r="I11" s="114"/>
      <c r="J11" s="114"/>
      <c r="K11" s="114"/>
      <c r="L11" s="114"/>
      <c r="M11" s="114"/>
      <c r="N11" s="114"/>
      <c r="O11" s="114"/>
      <c r="P11" s="114"/>
      <c r="Q11" s="114"/>
      <c r="R11" s="114"/>
    </row>
    <row r="12" spans="1:18" x14ac:dyDescent="0.15">
      <c r="A12" s="114"/>
      <c r="B12" s="114"/>
      <c r="C12" s="114"/>
      <c r="D12" s="114"/>
      <c r="E12" s="114"/>
      <c r="F12" s="114"/>
      <c r="G12" s="114"/>
      <c r="H12" s="114"/>
      <c r="I12" s="114"/>
      <c r="J12" s="114"/>
      <c r="K12" s="114"/>
      <c r="L12" s="114"/>
      <c r="M12" s="114"/>
      <c r="N12" s="114"/>
      <c r="O12" s="114"/>
      <c r="P12" s="114"/>
      <c r="Q12" s="114"/>
      <c r="R12" s="114"/>
    </row>
    <row r="13" spans="1:18" ht="13.5" customHeight="1" x14ac:dyDescent="0.15">
      <c r="A13" s="114"/>
      <c r="B13" s="114"/>
      <c r="C13" s="114"/>
      <c r="D13" s="114"/>
      <c r="E13" s="114"/>
      <c r="F13" s="114"/>
      <c r="G13" s="114"/>
      <c r="H13" s="114"/>
      <c r="I13" s="114"/>
      <c r="J13" s="114"/>
      <c r="K13" s="114"/>
      <c r="L13" s="744"/>
      <c r="M13" s="744"/>
      <c r="N13" s="744"/>
      <c r="O13" s="744"/>
      <c r="P13" s="744"/>
      <c r="Q13" s="744"/>
      <c r="R13" s="114"/>
    </row>
    <row r="14" spans="1:18" ht="13.5" customHeight="1" x14ac:dyDescent="0.15">
      <c r="A14" s="742" t="str">
        <f>IF(条件入力!D7&gt;0,条件入力!D7,"")</f>
        <v>ミニコーン工法サンプル</v>
      </c>
      <c r="B14" s="742"/>
      <c r="C14" s="742"/>
      <c r="D14" s="742"/>
      <c r="E14" s="742"/>
      <c r="F14" s="742"/>
      <c r="G14" s="742"/>
      <c r="H14" s="742"/>
      <c r="I14" s="747" t="s">
        <v>261</v>
      </c>
      <c r="J14" s="747"/>
      <c r="K14" s="114"/>
      <c r="L14" s="744"/>
      <c r="M14" s="744"/>
      <c r="N14" s="744"/>
      <c r="O14" s="744"/>
      <c r="P14" s="744"/>
      <c r="Q14" s="744"/>
      <c r="R14" s="114"/>
    </row>
    <row r="15" spans="1:18" x14ac:dyDescent="0.15">
      <c r="A15" s="742"/>
      <c r="B15" s="742"/>
      <c r="C15" s="742"/>
      <c r="D15" s="742"/>
      <c r="E15" s="742"/>
      <c r="F15" s="742"/>
      <c r="G15" s="742"/>
      <c r="H15" s="742"/>
      <c r="I15" s="747"/>
      <c r="J15" s="747"/>
      <c r="K15" s="114"/>
      <c r="L15" s="733"/>
      <c r="M15" s="733"/>
      <c r="N15" s="733"/>
      <c r="O15" s="733"/>
      <c r="P15" s="733"/>
      <c r="Q15" s="733"/>
      <c r="R15" s="114"/>
    </row>
    <row r="16" spans="1:18" x14ac:dyDescent="0.15">
      <c r="A16" s="114"/>
      <c r="B16" s="114"/>
      <c r="C16" s="114"/>
      <c r="D16" s="114"/>
      <c r="E16" s="114"/>
      <c r="F16" s="114"/>
      <c r="G16" s="114"/>
      <c r="H16" s="114"/>
      <c r="I16" s="114"/>
      <c r="J16" s="114"/>
      <c r="K16" s="114"/>
      <c r="L16" s="733"/>
      <c r="M16" s="733"/>
      <c r="N16" s="733"/>
      <c r="O16" s="733"/>
      <c r="P16" s="733"/>
      <c r="Q16" s="733"/>
      <c r="R16" s="114"/>
    </row>
    <row r="17" spans="1:18" x14ac:dyDescent="0.15">
      <c r="A17" s="114" t="s">
        <v>262</v>
      </c>
      <c r="B17" s="114"/>
      <c r="C17" s="114"/>
      <c r="D17" s="114"/>
      <c r="E17" s="114"/>
      <c r="F17" s="114"/>
      <c r="G17" s="114"/>
      <c r="H17" s="114"/>
      <c r="I17" s="114"/>
      <c r="J17" s="114"/>
      <c r="K17" s="114"/>
      <c r="L17" s="733"/>
      <c r="M17" s="733"/>
      <c r="N17" s="733"/>
      <c r="O17" s="733"/>
      <c r="P17" s="733"/>
      <c r="Q17" s="733"/>
      <c r="R17" s="114"/>
    </row>
    <row r="18" spans="1:18" x14ac:dyDescent="0.15">
      <c r="A18" s="114"/>
      <c r="B18" s="114"/>
      <c r="C18" s="114"/>
      <c r="D18" s="114"/>
      <c r="E18" s="114"/>
      <c r="F18" s="114"/>
      <c r="G18" s="114"/>
      <c r="H18" s="114"/>
      <c r="I18" s="114"/>
      <c r="J18" s="114"/>
      <c r="K18" s="114"/>
      <c r="L18" s="114"/>
      <c r="M18" s="114"/>
      <c r="N18" s="114"/>
      <c r="O18" s="114"/>
      <c r="P18" s="114"/>
      <c r="Q18" s="114"/>
      <c r="R18" s="114"/>
    </row>
    <row r="19" spans="1:18" x14ac:dyDescent="0.15">
      <c r="A19" s="114"/>
      <c r="B19" s="114"/>
      <c r="C19" s="114"/>
      <c r="D19" s="114"/>
      <c r="E19" s="114"/>
      <c r="F19" s="114"/>
      <c r="G19" s="114"/>
      <c r="H19" s="114"/>
      <c r="I19" s="114"/>
      <c r="J19" s="114"/>
      <c r="K19" s="114"/>
      <c r="L19" s="114"/>
      <c r="M19" s="114"/>
      <c r="N19" s="114"/>
      <c r="O19" s="114"/>
      <c r="P19" s="114"/>
      <c r="Q19" s="114"/>
      <c r="R19" s="114"/>
    </row>
    <row r="20" spans="1:18" x14ac:dyDescent="0.15">
      <c r="A20" s="114"/>
      <c r="B20" s="114"/>
      <c r="C20" s="114"/>
      <c r="D20" s="114"/>
      <c r="E20" s="114"/>
      <c r="F20" s="114"/>
      <c r="G20" s="114"/>
      <c r="H20" s="114"/>
      <c r="I20" s="114"/>
      <c r="J20" s="114"/>
      <c r="K20" s="114"/>
      <c r="L20" s="114"/>
      <c r="M20" s="114"/>
      <c r="N20" s="114"/>
      <c r="O20" s="114"/>
      <c r="P20" s="114"/>
      <c r="Q20" s="114"/>
      <c r="R20" s="114"/>
    </row>
    <row r="21" spans="1:18" x14ac:dyDescent="0.15">
      <c r="A21" s="114"/>
      <c r="B21" s="114"/>
      <c r="C21" s="456"/>
      <c r="D21" s="114"/>
      <c r="E21" s="114"/>
      <c r="F21" s="114"/>
      <c r="G21" s="114"/>
      <c r="H21" s="114"/>
      <c r="I21" s="114"/>
      <c r="J21" s="114"/>
      <c r="K21" s="114"/>
      <c r="L21" s="114"/>
      <c r="M21" s="114"/>
      <c r="N21" s="114"/>
      <c r="O21" s="114"/>
      <c r="P21" s="456"/>
      <c r="Q21" s="114"/>
      <c r="R21" s="114"/>
    </row>
    <row r="22" spans="1:18" ht="17.25" x14ac:dyDescent="0.2">
      <c r="A22" s="698" t="s">
        <v>263</v>
      </c>
      <c r="B22" s="698"/>
      <c r="C22" s="698"/>
      <c r="D22" s="698"/>
      <c r="E22" s="698"/>
      <c r="F22" s="698"/>
      <c r="G22" s="698"/>
      <c r="H22" s="698"/>
      <c r="I22" s="698"/>
      <c r="J22" s="698"/>
      <c r="K22" s="698"/>
      <c r="L22" s="698"/>
      <c r="M22" s="698"/>
      <c r="N22" s="698"/>
      <c r="O22" s="698"/>
      <c r="P22" s="698"/>
      <c r="Q22" s="698"/>
      <c r="R22" s="698"/>
    </row>
    <row r="23" spans="1:18" x14ac:dyDescent="0.15">
      <c r="A23" s="114"/>
      <c r="B23" s="114"/>
      <c r="C23" s="456"/>
      <c r="D23" s="456"/>
      <c r="E23" s="456"/>
      <c r="F23" s="456"/>
      <c r="G23" s="456"/>
      <c r="H23" s="456"/>
      <c r="I23" s="456"/>
      <c r="J23" s="456"/>
      <c r="K23" s="456"/>
      <c r="L23" s="456"/>
      <c r="M23" s="456"/>
      <c r="N23" s="456"/>
      <c r="O23" s="456"/>
      <c r="P23" s="456"/>
      <c r="Q23" s="114"/>
      <c r="R23" s="114"/>
    </row>
    <row r="24" spans="1:18" x14ac:dyDescent="0.15">
      <c r="A24" s="114"/>
      <c r="B24" s="114"/>
      <c r="C24" s="114"/>
      <c r="D24" s="114"/>
      <c r="E24" s="114"/>
      <c r="F24" s="114"/>
      <c r="G24" s="114"/>
      <c r="H24" s="114"/>
      <c r="I24" s="114"/>
      <c r="J24" s="114"/>
      <c r="K24" s="114"/>
      <c r="L24" s="114"/>
      <c r="M24" s="114"/>
      <c r="N24" s="114"/>
      <c r="O24" s="114"/>
      <c r="P24" s="114"/>
      <c r="Q24" s="114"/>
      <c r="R24" s="114"/>
    </row>
    <row r="25" spans="1:18" x14ac:dyDescent="0.15">
      <c r="A25" s="114"/>
      <c r="B25" s="114"/>
      <c r="C25" s="114"/>
      <c r="D25" s="747" t="s">
        <v>264</v>
      </c>
      <c r="E25" s="747"/>
      <c r="F25" s="747"/>
      <c r="G25" s="747"/>
      <c r="H25" s="747"/>
      <c r="I25" s="747"/>
      <c r="J25" s="747"/>
      <c r="K25" s="747"/>
      <c r="L25" s="747"/>
      <c r="M25" s="747"/>
      <c r="N25" s="747"/>
      <c r="O25" s="747"/>
      <c r="P25" s="114"/>
      <c r="Q25" s="114"/>
      <c r="R25" s="114"/>
    </row>
    <row r="26" spans="1:18" x14ac:dyDescent="0.15">
      <c r="A26" s="114"/>
      <c r="B26" s="114"/>
      <c r="C26" s="114"/>
      <c r="D26" s="747"/>
      <c r="E26" s="747"/>
      <c r="F26" s="747"/>
      <c r="G26" s="747"/>
      <c r="H26" s="747"/>
      <c r="I26" s="747"/>
      <c r="J26" s="747"/>
      <c r="K26" s="747"/>
      <c r="L26" s="747"/>
      <c r="M26" s="747"/>
      <c r="N26" s="747"/>
      <c r="O26" s="747"/>
      <c r="P26" s="114"/>
      <c r="Q26" s="114"/>
      <c r="R26" s="114"/>
    </row>
    <row r="27" spans="1:18" x14ac:dyDescent="0.15">
      <c r="A27" s="114"/>
      <c r="B27" s="114"/>
      <c r="C27" s="114"/>
      <c r="D27" s="114"/>
      <c r="E27" s="114"/>
      <c r="F27" s="114"/>
      <c r="G27" s="114"/>
      <c r="H27" s="114"/>
      <c r="I27" s="114"/>
      <c r="J27" s="114"/>
      <c r="K27" s="114"/>
      <c r="L27" s="114"/>
      <c r="M27" s="114"/>
      <c r="N27" s="114"/>
      <c r="O27" s="114"/>
      <c r="P27" s="114"/>
      <c r="Q27" s="114"/>
      <c r="R27" s="114"/>
    </row>
    <row r="28" spans="1:18" x14ac:dyDescent="0.15">
      <c r="A28" s="114"/>
      <c r="B28" s="114"/>
      <c r="C28" s="114"/>
      <c r="D28" s="114"/>
      <c r="E28" s="114"/>
      <c r="F28" s="114"/>
      <c r="G28" s="114"/>
      <c r="H28" s="114"/>
      <c r="I28" s="114"/>
      <c r="J28" s="114"/>
      <c r="K28" s="114"/>
      <c r="L28" s="114"/>
      <c r="M28" s="114"/>
      <c r="N28" s="114"/>
      <c r="O28" s="114"/>
      <c r="P28" s="114"/>
      <c r="Q28" s="114"/>
      <c r="R28" s="114"/>
    </row>
    <row r="29" spans="1:18" x14ac:dyDescent="0.15">
      <c r="A29" s="114"/>
      <c r="B29" s="114"/>
      <c r="C29" s="748" t="s">
        <v>265</v>
      </c>
      <c r="D29" s="748"/>
      <c r="E29" s="749">
        <f>条件入力!D8</f>
        <v>400</v>
      </c>
      <c r="F29" s="749"/>
      <c r="G29" s="749"/>
      <c r="H29" s="750" t="str">
        <f>IF(E29&lt;600,"mm  ミ ニ コ ー ン","mm  ユ ニ コ ー ン")</f>
        <v>mm  ミ ニ コ ー ン</v>
      </c>
      <c r="I29" s="750"/>
      <c r="J29" s="750"/>
      <c r="K29" s="750"/>
      <c r="L29" s="750"/>
      <c r="M29" s="750"/>
      <c r="N29" s="750"/>
      <c r="O29" s="750"/>
      <c r="P29" s="750"/>
      <c r="Q29" s="114"/>
      <c r="R29" s="114"/>
    </row>
    <row r="30" spans="1:18" x14ac:dyDescent="0.15">
      <c r="A30" s="114"/>
      <c r="B30" s="114"/>
      <c r="C30" s="748"/>
      <c r="D30" s="748"/>
      <c r="E30" s="749"/>
      <c r="F30" s="749"/>
      <c r="G30" s="749"/>
      <c r="H30" s="750"/>
      <c r="I30" s="750"/>
      <c r="J30" s="750"/>
      <c r="K30" s="750"/>
      <c r="L30" s="750"/>
      <c r="M30" s="750"/>
      <c r="N30" s="750"/>
      <c r="O30" s="750"/>
      <c r="P30" s="750"/>
      <c r="Q30" s="114"/>
      <c r="R30" s="114"/>
    </row>
    <row r="31" spans="1:18" x14ac:dyDescent="0.15">
      <c r="A31" s="114"/>
      <c r="B31" s="114"/>
      <c r="C31" s="114"/>
      <c r="D31" s="114"/>
      <c r="E31" s="114"/>
      <c r="F31" s="114"/>
      <c r="G31" s="114"/>
      <c r="H31" s="114"/>
      <c r="I31" s="114"/>
      <c r="J31" s="114"/>
      <c r="K31" s="114"/>
      <c r="L31" s="114"/>
      <c r="M31" s="114"/>
      <c r="N31" s="114"/>
      <c r="O31" s="114"/>
      <c r="P31" s="114"/>
      <c r="Q31" s="114"/>
      <c r="R31" s="114"/>
    </row>
    <row r="32" spans="1:18" ht="18.75" x14ac:dyDescent="0.2">
      <c r="A32" s="114"/>
      <c r="B32" s="114"/>
      <c r="C32" s="114"/>
      <c r="D32" s="114"/>
      <c r="E32" s="114"/>
      <c r="F32" s="365"/>
      <c r="G32" s="114"/>
      <c r="H32" s="114"/>
      <c r="I32" s="114"/>
      <c r="J32" s="114"/>
      <c r="K32" s="114"/>
      <c r="L32" s="114"/>
      <c r="M32" s="114"/>
      <c r="N32" s="114"/>
      <c r="O32" s="114"/>
      <c r="P32" s="114"/>
      <c r="Q32" s="114"/>
      <c r="R32" s="114"/>
    </row>
    <row r="33" spans="1:18" x14ac:dyDescent="0.15">
      <c r="A33" s="114"/>
      <c r="B33" s="114"/>
      <c r="C33" s="114"/>
      <c r="D33" s="114"/>
      <c r="E33" s="114"/>
      <c r="F33" s="114"/>
      <c r="G33" s="114"/>
      <c r="H33" s="733"/>
      <c r="I33" s="733"/>
      <c r="J33" s="733"/>
      <c r="K33" s="733"/>
      <c r="L33" s="733"/>
      <c r="M33" s="733"/>
      <c r="N33" s="114"/>
      <c r="O33" s="114"/>
      <c r="P33" s="114"/>
      <c r="Q33" s="114"/>
      <c r="R33" s="114"/>
    </row>
    <row r="34" spans="1:18" x14ac:dyDescent="0.15">
      <c r="A34" s="114"/>
      <c r="B34" s="114"/>
      <c r="C34" s="114"/>
      <c r="D34" s="114"/>
      <c r="E34" s="114"/>
      <c r="F34" s="114"/>
      <c r="G34" s="114"/>
      <c r="H34" s="114"/>
      <c r="I34" s="114"/>
      <c r="J34" s="114"/>
      <c r="K34" s="114"/>
      <c r="L34" s="114"/>
      <c r="M34" s="114"/>
      <c r="N34" s="114"/>
      <c r="O34" s="114"/>
      <c r="P34" s="114"/>
      <c r="Q34" s="114"/>
      <c r="R34" s="114"/>
    </row>
    <row r="35" spans="1:18" x14ac:dyDescent="0.15">
      <c r="A35" s="114"/>
      <c r="B35" s="114"/>
      <c r="C35" s="114"/>
      <c r="D35" s="114"/>
      <c r="E35" s="114"/>
      <c r="F35" s="114"/>
      <c r="G35" s="114"/>
      <c r="H35" s="114"/>
      <c r="I35" s="114"/>
      <c r="J35" s="114"/>
      <c r="K35" s="114"/>
      <c r="L35" s="114"/>
      <c r="M35" s="114"/>
      <c r="N35" s="114"/>
      <c r="O35" s="114"/>
      <c r="P35" s="114"/>
      <c r="Q35" s="114"/>
      <c r="R35" s="114"/>
    </row>
    <row r="36" spans="1:18" x14ac:dyDescent="0.15">
      <c r="A36" s="114"/>
      <c r="B36" s="114"/>
      <c r="C36" s="114"/>
      <c r="D36" s="114"/>
      <c r="E36" s="114"/>
      <c r="F36" s="114"/>
      <c r="G36" s="114"/>
      <c r="H36" s="114"/>
      <c r="I36" s="114"/>
      <c r="J36" s="114"/>
      <c r="K36" s="114"/>
      <c r="L36" s="114"/>
      <c r="M36" s="114"/>
      <c r="N36" s="114"/>
      <c r="O36" s="114"/>
      <c r="P36" s="114"/>
      <c r="Q36" s="114"/>
      <c r="R36" s="114"/>
    </row>
    <row r="37" spans="1:18" x14ac:dyDescent="0.15">
      <c r="A37" s="114"/>
      <c r="B37" s="114"/>
      <c r="C37" s="114"/>
      <c r="D37" s="114"/>
      <c r="E37" s="114"/>
      <c r="F37" s="114"/>
      <c r="G37" s="114"/>
      <c r="H37" s="114"/>
      <c r="I37" s="114"/>
      <c r="J37" s="114"/>
      <c r="K37" s="114"/>
      <c r="L37" s="114"/>
      <c r="M37" s="114"/>
      <c r="N37" s="114"/>
      <c r="O37" s="114"/>
      <c r="P37" s="114"/>
      <c r="Q37" s="114"/>
      <c r="R37" s="114"/>
    </row>
    <row r="38" spans="1:18" x14ac:dyDescent="0.15">
      <c r="A38" s="114"/>
      <c r="B38" s="114"/>
      <c r="C38" s="114"/>
      <c r="D38" s="114"/>
      <c r="E38" s="114"/>
      <c r="F38" s="114"/>
      <c r="G38" s="114"/>
      <c r="H38" s="114"/>
      <c r="I38" s="114"/>
      <c r="J38" s="114"/>
      <c r="K38" s="114"/>
      <c r="L38" s="114"/>
      <c r="M38" s="114"/>
      <c r="N38" s="114"/>
      <c r="O38" s="114"/>
      <c r="P38" s="114"/>
      <c r="Q38" s="114"/>
      <c r="R38" s="114"/>
    </row>
    <row r="39" spans="1:18" x14ac:dyDescent="0.15">
      <c r="A39" s="114"/>
      <c r="B39" s="114"/>
      <c r="C39" s="114"/>
      <c r="D39" s="114"/>
      <c r="E39" s="114"/>
      <c r="F39" s="114"/>
      <c r="G39" s="114"/>
      <c r="H39" s="114"/>
      <c r="I39" s="114"/>
      <c r="J39" s="114"/>
      <c r="K39" s="114"/>
      <c r="L39" s="114"/>
      <c r="M39" s="114"/>
      <c r="N39" s="114"/>
      <c r="O39" s="114"/>
      <c r="P39" s="114"/>
      <c r="Q39" s="114"/>
      <c r="R39" s="114"/>
    </row>
    <row r="40" spans="1:18" x14ac:dyDescent="0.15">
      <c r="A40" s="114"/>
      <c r="B40" s="114"/>
      <c r="C40" s="114"/>
      <c r="D40" s="745" t="s">
        <v>266</v>
      </c>
      <c r="E40" s="745"/>
      <c r="F40" s="745"/>
      <c r="G40" s="746">
        <f>L124</f>
        <v>16176356.715337735</v>
      </c>
      <c r="H40" s="746"/>
      <c r="I40" s="746"/>
      <c r="J40" s="746"/>
      <c r="K40" s="746"/>
      <c r="L40" s="746"/>
      <c r="M40" s="746"/>
      <c r="N40" s="746"/>
      <c r="O40" s="746"/>
      <c r="P40" s="114"/>
      <c r="Q40" s="114"/>
      <c r="R40" s="114"/>
    </row>
    <row r="41" spans="1:18" x14ac:dyDescent="0.15">
      <c r="A41" s="114"/>
      <c r="B41" s="114"/>
      <c r="C41" s="114"/>
      <c r="D41" s="745"/>
      <c r="E41" s="745"/>
      <c r="F41" s="745"/>
      <c r="G41" s="746"/>
      <c r="H41" s="746"/>
      <c r="I41" s="746"/>
      <c r="J41" s="746"/>
      <c r="K41" s="746"/>
      <c r="L41" s="746"/>
      <c r="M41" s="746"/>
      <c r="N41" s="746"/>
      <c r="O41" s="746"/>
      <c r="P41" s="114"/>
      <c r="Q41" s="114"/>
      <c r="R41" s="114"/>
    </row>
    <row r="42" spans="1:18" x14ac:dyDescent="0.15">
      <c r="A42" s="114"/>
      <c r="B42" s="114"/>
      <c r="C42" s="114"/>
      <c r="D42" s="114"/>
      <c r="E42" s="114"/>
      <c r="F42" s="114"/>
      <c r="G42" s="114"/>
      <c r="H42" s="114"/>
      <c r="I42" s="114"/>
      <c r="J42" s="114"/>
      <c r="K42" s="114"/>
      <c r="L42" s="114"/>
      <c r="M42" s="114"/>
      <c r="N42" s="114"/>
      <c r="O42" s="114"/>
      <c r="P42" s="114"/>
      <c r="Q42" s="114"/>
      <c r="R42" s="114"/>
    </row>
    <row r="43" spans="1:18" x14ac:dyDescent="0.15">
      <c r="A43" s="114"/>
      <c r="B43" s="114"/>
      <c r="C43" s="114"/>
      <c r="D43" s="114"/>
      <c r="E43" s="114"/>
      <c r="F43" s="114"/>
      <c r="G43" s="114"/>
      <c r="H43" s="114"/>
      <c r="J43" s="427" t="s">
        <v>267</v>
      </c>
      <c r="K43" s="427" t="s">
        <v>268</v>
      </c>
      <c r="L43" s="699">
        <f>G40/K64</f>
        <v>161763.56715337734</v>
      </c>
      <c r="M43" s="699"/>
      <c r="N43" s="699"/>
      <c r="O43" s="114" t="s">
        <v>269</v>
      </c>
      <c r="P43" s="114"/>
      <c r="Q43" s="114"/>
      <c r="R43" s="114"/>
    </row>
    <row r="44" spans="1:18" x14ac:dyDescent="0.15">
      <c r="A44" s="114"/>
      <c r="B44" s="114"/>
      <c r="C44" s="114"/>
      <c r="D44" s="114"/>
      <c r="E44" s="114"/>
      <c r="F44" s="114"/>
      <c r="G44" s="114"/>
      <c r="H44" s="114"/>
      <c r="I44" s="114"/>
      <c r="J44" s="114"/>
      <c r="K44" s="114"/>
      <c r="L44" s="114"/>
      <c r="M44" s="114"/>
      <c r="N44" s="114"/>
      <c r="O44" s="114"/>
      <c r="P44" s="114"/>
      <c r="Q44" s="114"/>
      <c r="R44" s="114"/>
    </row>
    <row r="45" spans="1:18" x14ac:dyDescent="0.15">
      <c r="A45" s="114"/>
      <c r="B45" s="114"/>
      <c r="C45" s="114"/>
      <c r="D45" s="114"/>
      <c r="E45" s="114"/>
      <c r="F45" s="114"/>
      <c r="G45" s="114"/>
      <c r="H45" s="114"/>
      <c r="I45" s="114"/>
      <c r="J45" s="114"/>
      <c r="K45" s="114"/>
      <c r="L45" s="114"/>
      <c r="M45" s="114"/>
      <c r="N45" s="114"/>
      <c r="O45" s="114"/>
      <c r="P45" s="114"/>
      <c r="Q45" s="114"/>
      <c r="R45" s="114"/>
    </row>
    <row r="46" spans="1:18" x14ac:dyDescent="0.15">
      <c r="A46" s="114"/>
      <c r="B46" s="114"/>
      <c r="C46" s="114"/>
      <c r="D46" s="114" t="s">
        <v>270</v>
      </c>
      <c r="E46" s="114"/>
      <c r="F46" s="114"/>
      <c r="G46" s="114"/>
      <c r="H46" s="114"/>
      <c r="I46" s="114"/>
      <c r="J46" s="114"/>
      <c r="K46" s="114"/>
      <c r="L46" s="114"/>
      <c r="M46" s="114"/>
      <c r="N46" s="114"/>
      <c r="O46" s="114"/>
      <c r="P46" s="114"/>
      <c r="Q46" s="114"/>
      <c r="R46" s="114"/>
    </row>
    <row r="47" spans="1:18" x14ac:dyDescent="0.15">
      <c r="A47" s="114"/>
      <c r="B47" s="114"/>
      <c r="C47" s="114"/>
      <c r="D47" s="114" t="s">
        <v>271</v>
      </c>
      <c r="E47" s="114"/>
      <c r="F47" s="114"/>
      <c r="G47" s="114"/>
      <c r="H47" s="114"/>
      <c r="I47" s="114"/>
      <c r="J47" s="114"/>
      <c r="K47" s="114"/>
      <c r="L47" s="114"/>
      <c r="M47" s="114"/>
      <c r="N47" s="114"/>
      <c r="O47" s="114"/>
      <c r="P47" s="114"/>
      <c r="Q47" s="114"/>
      <c r="R47" s="114"/>
    </row>
    <row r="48" spans="1:18" x14ac:dyDescent="0.15">
      <c r="A48" s="114"/>
      <c r="B48" s="114"/>
      <c r="C48" s="114"/>
      <c r="D48" s="114" t="s">
        <v>272</v>
      </c>
      <c r="E48" s="114"/>
      <c r="F48" s="114"/>
      <c r="G48" s="114"/>
      <c r="H48" s="114"/>
      <c r="I48" s="114"/>
      <c r="J48" s="114"/>
      <c r="K48" s="114"/>
      <c r="L48" s="114"/>
      <c r="M48" s="114"/>
      <c r="N48" s="114"/>
      <c r="O48" s="114"/>
      <c r="P48" s="114"/>
      <c r="Q48" s="114"/>
      <c r="R48" s="114"/>
    </row>
    <row r="49" spans="1:18" x14ac:dyDescent="0.15">
      <c r="A49" s="114"/>
      <c r="B49" s="114"/>
      <c r="C49" s="114"/>
      <c r="D49" s="114" t="s">
        <v>273</v>
      </c>
      <c r="E49" s="114"/>
      <c r="F49" s="114"/>
      <c r="G49" s="114"/>
      <c r="H49" s="114"/>
      <c r="I49" s="114"/>
      <c r="J49" s="114"/>
      <c r="K49" s="114"/>
      <c r="L49" s="114"/>
      <c r="M49" s="114"/>
      <c r="N49" s="114"/>
      <c r="O49" s="114"/>
      <c r="P49" s="114"/>
      <c r="Q49" s="114"/>
      <c r="R49" s="114"/>
    </row>
    <row r="50" spans="1:18" x14ac:dyDescent="0.15">
      <c r="A50" s="114"/>
      <c r="B50" s="114"/>
      <c r="C50" s="114"/>
      <c r="D50" s="114"/>
      <c r="E50" s="114"/>
      <c r="F50" s="114"/>
      <c r="G50" s="114"/>
      <c r="H50" s="114"/>
      <c r="I50" s="114"/>
      <c r="J50" s="114"/>
      <c r="K50" s="114"/>
      <c r="L50" s="114"/>
      <c r="M50" s="114"/>
      <c r="N50" s="114"/>
      <c r="O50" s="114"/>
      <c r="P50" s="114"/>
      <c r="Q50" s="114"/>
      <c r="R50" s="114"/>
    </row>
    <row r="51" spans="1:18" x14ac:dyDescent="0.15">
      <c r="A51" s="114"/>
      <c r="B51" s="114"/>
      <c r="C51" s="114"/>
      <c r="D51" s="114"/>
      <c r="E51" s="114"/>
      <c r="F51" s="114"/>
      <c r="G51" s="114"/>
      <c r="H51" s="114"/>
      <c r="I51" s="114"/>
      <c r="J51" s="114"/>
      <c r="K51" s="114"/>
      <c r="L51" s="114"/>
      <c r="M51" s="114"/>
      <c r="N51" s="114"/>
      <c r="O51" s="114"/>
      <c r="P51" s="114"/>
      <c r="Q51" s="114"/>
      <c r="R51" s="114"/>
    </row>
    <row r="52" spans="1:18" x14ac:dyDescent="0.15">
      <c r="A52" s="114"/>
      <c r="B52" s="114"/>
      <c r="C52" s="114"/>
      <c r="D52" s="114"/>
      <c r="E52" s="114"/>
      <c r="F52" s="114"/>
      <c r="G52" s="114"/>
      <c r="H52" s="114"/>
      <c r="I52" s="114"/>
      <c r="J52" s="114"/>
      <c r="K52" s="114"/>
      <c r="L52" s="114"/>
      <c r="M52" s="114"/>
      <c r="N52" s="114"/>
      <c r="O52" s="114"/>
      <c r="P52" s="114"/>
      <c r="Q52" s="114"/>
      <c r="R52" s="114"/>
    </row>
    <row r="53" spans="1:18" x14ac:dyDescent="0.15">
      <c r="A53" s="114"/>
      <c r="B53" s="114"/>
      <c r="C53" s="114"/>
      <c r="D53" s="114"/>
      <c r="E53" s="114"/>
      <c r="F53" s="114"/>
      <c r="G53" s="114"/>
      <c r="H53" s="114"/>
      <c r="I53" s="114"/>
      <c r="J53" s="114"/>
      <c r="K53" s="114"/>
      <c r="L53" s="114"/>
      <c r="M53" s="114"/>
      <c r="N53" s="114"/>
      <c r="O53" s="114"/>
      <c r="P53" s="114"/>
      <c r="Q53" s="114"/>
      <c r="R53" s="114"/>
    </row>
    <row r="54" spans="1:18" x14ac:dyDescent="0.15">
      <c r="A54" s="114"/>
      <c r="B54" s="114"/>
      <c r="C54" s="114"/>
      <c r="D54" s="114"/>
      <c r="E54" s="114"/>
      <c r="F54" s="114"/>
      <c r="G54" s="114"/>
      <c r="H54" s="114"/>
      <c r="I54" s="114"/>
      <c r="J54" s="114"/>
      <c r="K54" s="114"/>
      <c r="L54" s="114"/>
      <c r="M54" s="114"/>
      <c r="N54" s="114"/>
      <c r="O54" s="114"/>
      <c r="P54" s="114"/>
      <c r="Q54" s="114"/>
      <c r="R54" s="114"/>
    </row>
    <row r="55" spans="1:18" x14ac:dyDescent="0.15">
      <c r="A55" s="114"/>
      <c r="B55" s="114"/>
      <c r="C55" s="114"/>
      <c r="D55" s="114"/>
      <c r="E55" s="114"/>
      <c r="F55" s="114"/>
      <c r="G55" s="114"/>
      <c r="H55" s="114"/>
      <c r="I55" s="114"/>
      <c r="J55" s="114"/>
      <c r="K55" s="114"/>
      <c r="L55" s="114"/>
      <c r="M55" s="114"/>
      <c r="N55" s="114"/>
      <c r="O55" s="114"/>
      <c r="P55" s="114"/>
      <c r="Q55" s="114"/>
      <c r="R55" s="114"/>
    </row>
    <row r="56" spans="1:18" x14ac:dyDescent="0.15">
      <c r="A56" s="114"/>
      <c r="B56" s="114"/>
      <c r="C56" s="114"/>
      <c r="D56" s="114"/>
      <c r="E56" s="114"/>
      <c r="F56" s="114"/>
      <c r="G56" s="114"/>
      <c r="H56" s="114"/>
      <c r="I56" s="114"/>
      <c r="J56" s="114"/>
      <c r="K56" s="114"/>
      <c r="L56" s="114"/>
      <c r="M56" s="114"/>
      <c r="N56" s="114"/>
      <c r="O56" s="114"/>
      <c r="P56" s="114"/>
      <c r="Q56" s="114"/>
      <c r="R56" s="114"/>
    </row>
    <row r="57" spans="1:18" x14ac:dyDescent="0.15">
      <c r="A57" s="114"/>
      <c r="B57" s="114"/>
      <c r="C57" s="114"/>
      <c r="D57" s="114"/>
      <c r="E57" s="114"/>
      <c r="F57" s="114"/>
      <c r="G57" s="114"/>
      <c r="H57" s="114"/>
      <c r="I57" s="114"/>
      <c r="J57" s="114"/>
      <c r="K57" s="114"/>
      <c r="L57" s="114"/>
      <c r="M57" s="114"/>
      <c r="N57" s="114"/>
      <c r="O57" s="114"/>
      <c r="P57" s="114"/>
      <c r="Q57" s="114"/>
      <c r="R57" s="114"/>
    </row>
    <row r="58" spans="1:18" x14ac:dyDescent="0.15">
      <c r="A58" s="114"/>
      <c r="B58" s="114" t="s">
        <v>274</v>
      </c>
      <c r="C58" s="114"/>
      <c r="D58" s="114"/>
      <c r="E58" s="114"/>
      <c r="F58" s="114"/>
      <c r="G58" s="114"/>
      <c r="H58" s="114"/>
      <c r="I58" s="114"/>
      <c r="J58" s="114"/>
      <c r="K58" s="114"/>
      <c r="L58" s="114"/>
      <c r="M58" s="114"/>
      <c r="N58" s="114"/>
      <c r="O58" s="114"/>
      <c r="P58" s="114"/>
      <c r="Q58" s="114"/>
      <c r="R58" s="114"/>
    </row>
    <row r="59" spans="1:18" x14ac:dyDescent="0.15">
      <c r="A59" s="114"/>
      <c r="B59" s="114"/>
      <c r="C59" s="114"/>
      <c r="D59" s="114"/>
      <c r="E59" s="114"/>
      <c r="F59" s="114"/>
      <c r="G59" s="114"/>
      <c r="H59" s="114"/>
      <c r="I59" s="114"/>
      <c r="J59" s="114"/>
      <c r="K59" s="114"/>
      <c r="L59" s="114"/>
      <c r="M59" s="114"/>
      <c r="N59" s="114"/>
      <c r="O59" s="114"/>
      <c r="P59" s="114"/>
      <c r="Q59" s="114"/>
      <c r="R59" s="114"/>
    </row>
    <row r="60" spans="1:18" x14ac:dyDescent="0.15">
      <c r="A60" s="114"/>
      <c r="B60" s="114"/>
      <c r="C60" s="114"/>
      <c r="D60" s="114" t="s">
        <v>125</v>
      </c>
      <c r="E60" s="114"/>
      <c r="F60" s="114"/>
      <c r="G60" s="114"/>
      <c r="H60" s="114"/>
      <c r="I60" s="114"/>
      <c r="J60" s="114" t="s">
        <v>265</v>
      </c>
      <c r="K60" s="733">
        <f>条件入力!D8</f>
        <v>400</v>
      </c>
      <c r="L60" s="733"/>
      <c r="M60" s="114" t="s">
        <v>97</v>
      </c>
      <c r="N60" s="114"/>
      <c r="O60" s="114"/>
      <c r="P60" s="114"/>
      <c r="Q60" s="114"/>
      <c r="R60" s="114"/>
    </row>
    <row r="61" spans="1:18" x14ac:dyDescent="0.15">
      <c r="A61" s="114"/>
      <c r="B61" s="114"/>
      <c r="C61" s="114"/>
      <c r="D61" s="114"/>
      <c r="E61" s="114"/>
      <c r="F61" s="114"/>
      <c r="G61" s="114"/>
      <c r="H61" s="114"/>
      <c r="I61" s="114"/>
      <c r="J61" s="114"/>
      <c r="K61" s="114"/>
      <c r="L61" s="114"/>
      <c r="M61" s="114"/>
      <c r="N61" s="114"/>
      <c r="O61" s="114"/>
      <c r="P61" s="114"/>
      <c r="Q61" s="114"/>
      <c r="R61" s="114"/>
    </row>
    <row r="62" spans="1:18" x14ac:dyDescent="0.15">
      <c r="A62" s="114"/>
      <c r="B62" s="114"/>
      <c r="C62" s="114"/>
      <c r="D62" s="114" t="s">
        <v>275</v>
      </c>
      <c r="E62" s="114"/>
      <c r="F62" s="114"/>
      <c r="G62" s="114"/>
      <c r="H62" s="114"/>
      <c r="I62" s="114"/>
      <c r="J62" s="114" t="str">
        <f>IF(AND(条件入力!D18=1,条件入力!D8&lt;=300),"1.0ｍ 推進管  （小立坑）",IF(AND(条件入力!D18=1,条件入力!D8&gt;300),"1.2ｍ 推進管 （小立坑）",IF(AND(条件入力!D18=2,条件入力!D8&lt;=300),"2ｍ推進管","2.43 ｍ 推進管")))</f>
        <v>2.43 ｍ 推進管</v>
      </c>
      <c r="K62" s="114"/>
      <c r="L62" s="114"/>
      <c r="M62" s="114"/>
      <c r="N62" s="114"/>
      <c r="O62" s="114"/>
      <c r="P62" s="114"/>
      <c r="Q62" s="114"/>
      <c r="R62" s="114"/>
    </row>
    <row r="63" spans="1:18" x14ac:dyDescent="0.15">
      <c r="A63" s="114"/>
      <c r="B63" s="114"/>
      <c r="C63" s="114"/>
      <c r="D63" s="114"/>
      <c r="E63" s="114"/>
      <c r="F63" s="114"/>
      <c r="G63" s="114"/>
      <c r="H63" s="114"/>
      <c r="I63" s="114"/>
      <c r="J63" s="114"/>
      <c r="K63" s="114"/>
      <c r="L63" s="114"/>
      <c r="M63" s="114"/>
      <c r="N63" s="114"/>
      <c r="O63" s="114"/>
      <c r="P63" s="114"/>
      <c r="Q63" s="114"/>
      <c r="R63" s="114"/>
    </row>
    <row r="64" spans="1:18" x14ac:dyDescent="0.15">
      <c r="A64" s="114"/>
      <c r="B64" s="114"/>
      <c r="C64" s="114"/>
      <c r="D64" s="114" t="s">
        <v>276</v>
      </c>
      <c r="E64" s="114"/>
      <c r="F64" s="114"/>
      <c r="G64" s="114"/>
      <c r="H64" s="114"/>
      <c r="I64" s="114"/>
      <c r="J64" s="114" t="s">
        <v>277</v>
      </c>
      <c r="K64" s="735">
        <f>条件入力!M18</f>
        <v>100</v>
      </c>
      <c r="L64" s="733"/>
      <c r="M64" s="114" t="s">
        <v>137</v>
      </c>
      <c r="N64" s="114"/>
      <c r="O64" s="114"/>
      <c r="P64" s="114"/>
      <c r="Q64" s="114"/>
      <c r="R64" s="114"/>
    </row>
    <row r="65" spans="1:18" x14ac:dyDescent="0.15">
      <c r="A65" s="114"/>
      <c r="B65" s="114"/>
      <c r="C65" s="114"/>
      <c r="D65" s="114"/>
      <c r="E65" s="114"/>
      <c r="F65" s="114"/>
      <c r="G65" s="114"/>
      <c r="H65" s="114"/>
      <c r="I65" s="114"/>
      <c r="J65" s="114"/>
      <c r="K65" s="114"/>
      <c r="L65" s="114"/>
      <c r="M65" s="114"/>
      <c r="N65" s="114"/>
      <c r="O65" s="114"/>
      <c r="P65" s="114"/>
      <c r="Q65" s="114"/>
      <c r="R65" s="114"/>
    </row>
    <row r="66" spans="1:18" x14ac:dyDescent="0.15">
      <c r="A66" s="114"/>
      <c r="B66" s="114"/>
      <c r="C66" s="114"/>
      <c r="D66" s="114" t="s">
        <v>204</v>
      </c>
      <c r="E66" s="114"/>
      <c r="F66" s="114"/>
      <c r="G66" s="114"/>
      <c r="H66" s="114"/>
      <c r="I66" s="114"/>
      <c r="J66" s="114"/>
      <c r="K66" s="732">
        <f>条件入力!T21</f>
        <v>1</v>
      </c>
      <c r="L66" s="733"/>
      <c r="M66" s="114" t="s">
        <v>278</v>
      </c>
      <c r="N66" s="114"/>
      <c r="O66" s="114"/>
      <c r="P66" s="114"/>
      <c r="Q66" s="114"/>
      <c r="R66" s="114"/>
    </row>
    <row r="67" spans="1:18" x14ac:dyDescent="0.15">
      <c r="A67" s="114"/>
      <c r="B67" s="114"/>
      <c r="C67" s="114"/>
      <c r="D67" s="114"/>
      <c r="E67" s="114"/>
      <c r="F67" s="114"/>
      <c r="G67" s="114"/>
      <c r="H67" s="114"/>
      <c r="I67" s="114"/>
      <c r="J67" s="114"/>
      <c r="K67" s="114"/>
      <c r="L67" s="114"/>
      <c r="M67" s="114"/>
      <c r="N67" s="114"/>
      <c r="O67" s="114"/>
      <c r="P67" s="114"/>
      <c r="Q67" s="114"/>
      <c r="R67" s="114"/>
    </row>
    <row r="68" spans="1:18" x14ac:dyDescent="0.15">
      <c r="A68" s="114"/>
      <c r="B68" s="114"/>
      <c r="C68" s="114"/>
      <c r="D68" s="114" t="s">
        <v>279</v>
      </c>
      <c r="E68" s="114"/>
      <c r="F68" s="114"/>
      <c r="G68" s="114"/>
      <c r="H68" s="114"/>
      <c r="I68" s="114"/>
      <c r="J68" s="114"/>
      <c r="K68" s="733">
        <f>条件入力!D9</f>
        <v>5</v>
      </c>
      <c r="L68" s="733"/>
      <c r="M68" s="114" t="s">
        <v>137</v>
      </c>
      <c r="N68" s="114"/>
      <c r="O68" s="114"/>
      <c r="P68" s="114"/>
      <c r="Q68" s="114"/>
      <c r="R68" s="114"/>
    </row>
    <row r="69" spans="1:18" x14ac:dyDescent="0.15">
      <c r="A69" s="114"/>
      <c r="B69" s="114"/>
      <c r="C69" s="114"/>
      <c r="D69" s="114"/>
      <c r="E69" s="114"/>
      <c r="F69" s="114"/>
      <c r="G69" s="114"/>
      <c r="H69" s="114"/>
      <c r="I69" s="114"/>
      <c r="J69" s="114"/>
      <c r="K69" s="114"/>
      <c r="L69" s="114"/>
      <c r="M69" s="114"/>
      <c r="N69" s="114"/>
      <c r="O69" s="114"/>
      <c r="P69" s="114"/>
      <c r="Q69" s="114"/>
      <c r="R69" s="114"/>
    </row>
    <row r="70" spans="1:18" x14ac:dyDescent="0.15">
      <c r="A70" s="114"/>
      <c r="B70" s="114"/>
      <c r="C70" s="114"/>
      <c r="D70" s="114" t="s">
        <v>280</v>
      </c>
      <c r="E70" s="114"/>
      <c r="F70" s="114"/>
      <c r="G70" s="114"/>
      <c r="H70" s="114"/>
      <c r="I70" s="114"/>
      <c r="J70" s="122" t="s">
        <v>281</v>
      </c>
      <c r="K70" s="733">
        <f>条件入力!D10</f>
        <v>3</v>
      </c>
      <c r="L70" s="733"/>
      <c r="M70" s="114" t="s">
        <v>137</v>
      </c>
      <c r="N70" s="114"/>
      <c r="O70" s="114"/>
      <c r="P70" s="114"/>
      <c r="Q70" s="114"/>
      <c r="R70" s="114"/>
    </row>
    <row r="71" spans="1:18" x14ac:dyDescent="0.15">
      <c r="A71" s="114"/>
      <c r="B71" s="114"/>
      <c r="C71" s="114"/>
      <c r="D71" s="114"/>
      <c r="E71" s="114"/>
      <c r="F71" s="114"/>
      <c r="G71" s="114"/>
      <c r="H71" s="114"/>
      <c r="I71" s="114"/>
      <c r="J71" s="114"/>
      <c r="K71" s="114"/>
      <c r="L71" s="114"/>
      <c r="M71" s="114"/>
      <c r="N71" s="114"/>
      <c r="O71" s="114"/>
      <c r="P71" s="114"/>
      <c r="Q71" s="114"/>
      <c r="R71" s="114"/>
    </row>
    <row r="72" spans="1:18" x14ac:dyDescent="0.15">
      <c r="A72" s="114"/>
      <c r="B72" s="114"/>
      <c r="C72" s="114"/>
      <c r="D72" s="114" t="s">
        <v>105</v>
      </c>
      <c r="E72" s="114"/>
      <c r="F72" s="114" t="s">
        <v>282</v>
      </c>
      <c r="G72" s="114"/>
      <c r="H72" s="114"/>
      <c r="I72" s="114"/>
      <c r="J72" s="114"/>
      <c r="K72" s="733"/>
      <c r="L72" s="733"/>
      <c r="M72" s="114" t="s">
        <v>283</v>
      </c>
      <c r="N72" s="114"/>
      <c r="O72" s="114"/>
      <c r="P72" s="114"/>
      <c r="Q72" s="114"/>
      <c r="R72" s="114"/>
    </row>
    <row r="73" spans="1:18" x14ac:dyDescent="0.15">
      <c r="A73" s="114"/>
      <c r="B73" s="114"/>
      <c r="C73" s="114"/>
      <c r="D73" s="114"/>
      <c r="E73" s="114"/>
      <c r="F73" s="114"/>
      <c r="G73" s="114"/>
      <c r="H73" s="114"/>
      <c r="I73" s="114"/>
      <c r="J73" s="114"/>
      <c r="K73" s="114"/>
      <c r="L73" s="114"/>
      <c r="M73" s="114"/>
      <c r="N73" s="114"/>
      <c r="O73" s="114"/>
      <c r="P73" s="114"/>
      <c r="Q73" s="114"/>
      <c r="R73" s="114"/>
    </row>
    <row r="74" spans="1:18" x14ac:dyDescent="0.15">
      <c r="A74" s="114"/>
      <c r="B74" s="114"/>
      <c r="C74" s="114"/>
      <c r="D74" s="114"/>
      <c r="E74" s="114"/>
      <c r="F74" s="114" t="s">
        <v>284</v>
      </c>
      <c r="G74" s="114"/>
      <c r="H74" s="114"/>
      <c r="I74" s="114"/>
      <c r="J74" s="114"/>
      <c r="K74" s="733">
        <f>条件入力!D14</f>
        <v>30</v>
      </c>
      <c r="L74" s="733"/>
      <c r="M74" s="114" t="s">
        <v>285</v>
      </c>
      <c r="N74" s="114"/>
      <c r="O74" s="114"/>
      <c r="P74" s="114"/>
      <c r="Q74" s="114"/>
      <c r="R74" s="114"/>
    </row>
    <row r="75" spans="1:18" x14ac:dyDescent="0.15">
      <c r="A75" s="114"/>
      <c r="B75" s="114"/>
      <c r="C75" s="114"/>
      <c r="D75" s="114"/>
      <c r="E75" s="114"/>
      <c r="F75" s="114"/>
      <c r="G75" s="114"/>
      <c r="H75" s="114"/>
      <c r="I75" s="114"/>
      <c r="J75" s="114"/>
      <c r="K75" s="114"/>
      <c r="L75" s="114"/>
      <c r="M75" s="114"/>
      <c r="N75" s="114"/>
      <c r="O75" s="114"/>
      <c r="P75" s="114"/>
      <c r="Q75" s="114"/>
      <c r="R75" s="114"/>
    </row>
    <row r="76" spans="1:18" x14ac:dyDescent="0.15">
      <c r="A76" s="114"/>
      <c r="B76" s="114"/>
      <c r="C76" s="114"/>
      <c r="D76" s="114"/>
      <c r="E76" s="114"/>
      <c r="F76" s="114" t="s">
        <v>286</v>
      </c>
      <c r="G76" s="114"/>
      <c r="H76" s="114"/>
      <c r="I76" s="114"/>
      <c r="J76" s="114"/>
      <c r="K76" s="733">
        <f>条件入力!D15</f>
        <v>30</v>
      </c>
      <c r="L76" s="733"/>
      <c r="M76" s="114" t="s">
        <v>285</v>
      </c>
      <c r="N76" s="114"/>
      <c r="O76" s="114"/>
      <c r="P76" s="114"/>
      <c r="Q76" s="114"/>
      <c r="R76" s="114"/>
    </row>
    <row r="77" spans="1:18" x14ac:dyDescent="0.15">
      <c r="A77" s="114"/>
      <c r="B77" s="114"/>
      <c r="C77" s="114"/>
      <c r="D77" s="114"/>
      <c r="E77" s="114"/>
      <c r="F77" s="114"/>
      <c r="G77" s="114"/>
      <c r="H77" s="114"/>
      <c r="I77" s="114"/>
      <c r="J77" s="114"/>
      <c r="K77" s="114"/>
      <c r="L77" s="114"/>
      <c r="M77" s="114"/>
      <c r="N77" s="114"/>
      <c r="O77" s="114"/>
      <c r="P77" s="114"/>
      <c r="Q77" s="114"/>
      <c r="R77" s="114"/>
    </row>
    <row r="78" spans="1:18" x14ac:dyDescent="0.15">
      <c r="A78" s="114"/>
      <c r="B78" s="114"/>
      <c r="C78" s="114"/>
      <c r="D78" s="114"/>
      <c r="E78" s="114"/>
      <c r="F78" s="114" t="s">
        <v>287</v>
      </c>
      <c r="G78" s="114"/>
      <c r="H78" s="114"/>
      <c r="I78" s="114"/>
      <c r="J78" s="114"/>
      <c r="K78" s="733">
        <f>条件入力!I14</f>
        <v>40</v>
      </c>
      <c r="L78" s="733"/>
      <c r="M78" s="114" t="s">
        <v>285</v>
      </c>
      <c r="N78" s="114"/>
      <c r="O78" s="114"/>
      <c r="P78" s="114"/>
      <c r="Q78" s="114"/>
      <c r="R78" s="114"/>
    </row>
    <row r="79" spans="1:18" x14ac:dyDescent="0.15">
      <c r="A79" s="114"/>
      <c r="B79" s="114"/>
      <c r="C79" s="114"/>
      <c r="D79" s="114"/>
      <c r="E79" s="114"/>
      <c r="F79" s="114"/>
      <c r="G79" s="114"/>
      <c r="H79" s="114"/>
      <c r="I79" s="114"/>
      <c r="J79" s="114"/>
      <c r="K79" s="114"/>
      <c r="L79" s="114"/>
      <c r="M79" s="114"/>
      <c r="N79" s="114"/>
      <c r="O79" s="114"/>
      <c r="P79" s="114"/>
      <c r="Q79" s="114"/>
      <c r="R79" s="114"/>
    </row>
    <row r="80" spans="1:18" x14ac:dyDescent="0.15">
      <c r="A80" s="114"/>
      <c r="B80" s="114"/>
      <c r="C80" s="114"/>
      <c r="D80" s="114" t="s">
        <v>288</v>
      </c>
      <c r="E80" s="114"/>
      <c r="F80" s="114"/>
      <c r="G80" s="114"/>
      <c r="H80" s="114"/>
      <c r="I80" s="114"/>
      <c r="J80" s="114"/>
      <c r="K80" s="733">
        <f>条件入力!D13</f>
        <v>30</v>
      </c>
      <c r="L80" s="733"/>
      <c r="M80" s="114" t="s">
        <v>285</v>
      </c>
      <c r="N80" s="114"/>
      <c r="O80" s="114"/>
      <c r="P80" s="114"/>
      <c r="Q80" s="114"/>
      <c r="R80" s="114"/>
    </row>
    <row r="81" spans="1:18" x14ac:dyDescent="0.15">
      <c r="A81" s="114"/>
      <c r="B81" s="114"/>
      <c r="C81" s="114"/>
      <c r="D81" s="114"/>
      <c r="E81" s="114"/>
      <c r="F81" s="114"/>
      <c r="G81" s="114"/>
      <c r="H81" s="114"/>
      <c r="I81" s="114"/>
      <c r="J81" s="114"/>
      <c r="K81" s="114"/>
      <c r="L81" s="114"/>
      <c r="M81" s="114"/>
      <c r="N81" s="114"/>
      <c r="O81" s="114"/>
      <c r="P81" s="114"/>
      <c r="Q81" s="114"/>
      <c r="R81" s="114"/>
    </row>
    <row r="82" spans="1:18" x14ac:dyDescent="0.15">
      <c r="A82" s="114"/>
      <c r="B82" s="114"/>
      <c r="C82" s="114"/>
      <c r="D82" s="114" t="s">
        <v>86</v>
      </c>
      <c r="E82" s="114"/>
      <c r="F82" s="114"/>
      <c r="G82" s="114"/>
      <c r="H82" s="114"/>
      <c r="I82" s="114"/>
      <c r="J82" s="114"/>
      <c r="K82" s="733">
        <f>MAX(条件入力!Q3:Q17)</f>
        <v>30</v>
      </c>
      <c r="L82" s="733"/>
      <c r="M82" s="114" t="s">
        <v>97</v>
      </c>
      <c r="N82" s="114"/>
      <c r="O82" s="114"/>
      <c r="P82" s="114"/>
      <c r="Q82" s="114"/>
      <c r="R82" s="114"/>
    </row>
    <row r="83" spans="1:18" x14ac:dyDescent="0.15">
      <c r="A83" s="114"/>
      <c r="B83" s="114"/>
      <c r="C83" s="114"/>
      <c r="D83" s="114"/>
      <c r="E83" s="114"/>
      <c r="F83" s="114"/>
      <c r="G83" s="114"/>
      <c r="H83" s="114"/>
      <c r="I83" s="114"/>
      <c r="J83" s="114"/>
      <c r="K83" s="114"/>
      <c r="L83" s="114"/>
      <c r="M83" s="114"/>
      <c r="N83" s="114"/>
      <c r="O83" s="114"/>
      <c r="P83" s="114"/>
      <c r="Q83" s="114"/>
      <c r="R83" s="114"/>
    </row>
    <row r="84" spans="1:18" x14ac:dyDescent="0.15">
      <c r="A84" s="114"/>
      <c r="B84" s="114"/>
      <c r="C84" s="114"/>
      <c r="D84" s="114" t="s">
        <v>289</v>
      </c>
      <c r="E84" s="114"/>
      <c r="F84" s="114"/>
      <c r="G84" s="114"/>
      <c r="H84" s="114"/>
      <c r="I84" s="114"/>
      <c r="J84" s="114"/>
      <c r="K84" s="734">
        <f>条件入力!L25</f>
        <v>7.1428571428571432</v>
      </c>
      <c r="L84" s="734"/>
      <c r="M84" s="114" t="s">
        <v>290</v>
      </c>
      <c r="N84" s="114"/>
      <c r="O84" s="114"/>
      <c r="P84" s="114"/>
      <c r="Q84" s="114"/>
      <c r="R84" s="114"/>
    </row>
    <row r="85" spans="1:18" x14ac:dyDescent="0.15">
      <c r="A85" s="114"/>
      <c r="B85" s="114"/>
      <c r="C85" s="114"/>
      <c r="D85" s="367" t="s">
        <v>291</v>
      </c>
      <c r="E85" s="114"/>
      <c r="F85" s="114"/>
      <c r="G85" s="114"/>
      <c r="H85" s="114"/>
      <c r="I85" s="114"/>
      <c r="J85" s="114"/>
      <c r="K85" s="114"/>
      <c r="L85" s="114"/>
      <c r="M85" s="114"/>
      <c r="N85" s="114"/>
      <c r="O85" s="114"/>
      <c r="P85" s="114"/>
      <c r="Q85" s="114"/>
      <c r="R85" s="114"/>
    </row>
    <row r="86" spans="1:18" x14ac:dyDescent="0.15">
      <c r="A86" s="114"/>
      <c r="B86" s="114"/>
      <c r="C86" s="114"/>
      <c r="D86" s="114" t="s">
        <v>185</v>
      </c>
      <c r="E86" s="114"/>
      <c r="F86" s="114"/>
      <c r="G86" s="114"/>
      <c r="H86" s="114"/>
      <c r="I86" s="114"/>
      <c r="J86" s="114"/>
      <c r="K86" s="732">
        <f>条件入力!R18</f>
        <v>14</v>
      </c>
      <c r="L86" s="732"/>
      <c r="M86" s="114" t="s">
        <v>195</v>
      </c>
      <c r="N86" s="114"/>
      <c r="O86" s="114"/>
      <c r="P86" s="114"/>
      <c r="Q86" s="114"/>
      <c r="R86" s="114"/>
    </row>
    <row r="87" spans="1:18" x14ac:dyDescent="0.15">
      <c r="A87" s="114"/>
      <c r="B87" s="114"/>
      <c r="C87" s="114"/>
      <c r="D87" s="367" t="s">
        <v>292</v>
      </c>
      <c r="E87" s="114"/>
      <c r="F87" s="114"/>
      <c r="G87" s="114"/>
      <c r="H87" s="114"/>
      <c r="I87" s="114"/>
      <c r="J87" s="114"/>
      <c r="K87" s="114"/>
      <c r="L87" s="114"/>
      <c r="M87" s="114"/>
      <c r="N87" s="114"/>
      <c r="O87" s="114"/>
      <c r="P87" s="114"/>
      <c r="Q87" s="114"/>
      <c r="R87" s="114"/>
    </row>
    <row r="88" spans="1:18" x14ac:dyDescent="0.15">
      <c r="A88" s="114"/>
      <c r="B88" s="114"/>
      <c r="C88" s="114"/>
      <c r="D88" s="114" t="s">
        <v>92</v>
      </c>
      <c r="E88" s="114"/>
      <c r="F88" s="114"/>
      <c r="G88" s="114"/>
      <c r="H88" s="114"/>
      <c r="I88" s="114"/>
      <c r="J88" s="114"/>
      <c r="K88" s="732">
        <f>条件入力!T19</f>
        <v>24</v>
      </c>
      <c r="L88" s="732"/>
      <c r="M88" s="114" t="s">
        <v>195</v>
      </c>
      <c r="N88" s="114"/>
      <c r="O88" s="114"/>
      <c r="P88" s="114"/>
      <c r="Q88" s="114"/>
      <c r="R88" s="114"/>
    </row>
    <row r="89" spans="1:18" x14ac:dyDescent="0.15">
      <c r="A89" s="114"/>
      <c r="B89" s="114"/>
      <c r="C89" s="114"/>
      <c r="D89" s="114"/>
      <c r="E89" s="114"/>
      <c r="F89" s="114"/>
      <c r="G89" s="114"/>
      <c r="H89" s="114"/>
      <c r="I89" s="114"/>
      <c r="J89" s="114"/>
      <c r="K89" s="114"/>
      <c r="L89" s="114"/>
      <c r="M89" s="114"/>
      <c r="N89" s="114"/>
      <c r="O89" s="114"/>
      <c r="P89" s="114"/>
      <c r="Q89" s="114"/>
      <c r="R89" s="114"/>
    </row>
    <row r="90" spans="1:18" x14ac:dyDescent="0.15">
      <c r="A90" s="114"/>
      <c r="B90" s="114"/>
      <c r="C90" s="114"/>
      <c r="D90" s="114" t="s">
        <v>293</v>
      </c>
      <c r="E90" s="114"/>
      <c r="F90" s="114"/>
      <c r="G90" s="114"/>
      <c r="H90" s="114"/>
      <c r="I90" s="114"/>
      <c r="J90" s="114"/>
      <c r="K90" s="732" t="str">
        <f>労務単価!C51</f>
        <v>北海道</v>
      </c>
      <c r="L90" s="732"/>
      <c r="M90" s="114" t="s">
        <v>294</v>
      </c>
      <c r="N90" s="114"/>
      <c r="O90" s="114"/>
      <c r="P90" s="114"/>
      <c r="Q90" s="114"/>
      <c r="R90" s="114"/>
    </row>
    <row r="91" spans="1:18" x14ac:dyDescent="0.15">
      <c r="A91" s="114"/>
      <c r="B91" s="114"/>
      <c r="C91" s="114"/>
      <c r="D91" s="114"/>
      <c r="E91" s="114"/>
      <c r="F91" s="114"/>
      <c r="G91" s="114"/>
      <c r="H91" s="114"/>
      <c r="I91" s="114"/>
      <c r="J91" s="114"/>
      <c r="K91" s="114"/>
      <c r="L91" s="114"/>
      <c r="M91" s="114"/>
      <c r="N91" s="114"/>
      <c r="O91" s="114"/>
      <c r="P91" s="114"/>
      <c r="Q91" s="114"/>
      <c r="R91" s="114"/>
    </row>
    <row r="92" spans="1:18" x14ac:dyDescent="0.15">
      <c r="A92" s="114"/>
      <c r="B92" s="114"/>
      <c r="C92" s="114"/>
      <c r="D92" s="114" t="s">
        <v>295</v>
      </c>
      <c r="E92" s="114"/>
      <c r="F92" s="114"/>
      <c r="G92" s="114"/>
      <c r="H92" s="114"/>
      <c r="I92" s="114"/>
      <c r="J92" s="114"/>
      <c r="K92" s="114">
        <f>条件入力!D31</f>
        <v>1.5</v>
      </c>
      <c r="L92" s="114"/>
      <c r="M92" s="114"/>
      <c r="N92" s="114"/>
      <c r="O92" s="114"/>
      <c r="P92" s="114"/>
      <c r="Q92" s="114"/>
      <c r="R92" s="114"/>
    </row>
    <row r="93" spans="1:18" x14ac:dyDescent="0.15">
      <c r="A93" s="114"/>
      <c r="B93" s="114"/>
      <c r="C93" s="114"/>
      <c r="D93" s="114"/>
      <c r="E93" s="114"/>
      <c r="F93" s="114"/>
      <c r="G93" s="114"/>
      <c r="H93" s="114"/>
      <c r="I93" s="114"/>
      <c r="J93" s="114"/>
      <c r="K93" s="114"/>
      <c r="L93" s="114"/>
      <c r="M93" s="114"/>
      <c r="N93" s="114"/>
      <c r="O93" s="114"/>
      <c r="P93" s="114"/>
      <c r="Q93" s="114"/>
      <c r="R93" s="114"/>
    </row>
    <row r="94" spans="1:18" x14ac:dyDescent="0.15">
      <c r="A94" s="114"/>
      <c r="B94" s="114" t="s">
        <v>296</v>
      </c>
      <c r="D94" s="114"/>
      <c r="E94" s="114"/>
      <c r="F94" s="114"/>
      <c r="G94" s="114"/>
      <c r="H94" s="114"/>
      <c r="I94" s="114"/>
      <c r="J94" s="114"/>
      <c r="K94" s="114"/>
      <c r="L94" s="114"/>
      <c r="M94" s="114"/>
      <c r="N94" s="114"/>
      <c r="O94" s="114"/>
      <c r="P94" s="114"/>
      <c r="Q94" s="114"/>
      <c r="R94" s="114"/>
    </row>
    <row r="95" spans="1:18" x14ac:dyDescent="0.15">
      <c r="A95" s="114"/>
      <c r="B95" s="425" t="s">
        <v>297</v>
      </c>
      <c r="D95" s="114"/>
      <c r="E95" s="114"/>
      <c r="F95" s="114"/>
      <c r="G95" s="114"/>
      <c r="H95" s="114"/>
      <c r="I95" s="114"/>
      <c r="J95" s="114"/>
      <c r="K95" s="114"/>
      <c r="L95" s="114"/>
      <c r="M95" s="114"/>
      <c r="N95" s="114"/>
      <c r="O95" s="114"/>
      <c r="P95" s="114"/>
      <c r="Q95" s="114"/>
      <c r="R95" s="114"/>
    </row>
    <row r="96" spans="1:18" x14ac:dyDescent="0.15">
      <c r="A96" s="114"/>
      <c r="B96" s="425" t="s">
        <v>298</v>
      </c>
      <c r="D96" s="114"/>
      <c r="E96" s="114"/>
      <c r="F96" s="114"/>
      <c r="G96" s="114"/>
      <c r="H96" s="114"/>
      <c r="I96" s="114"/>
      <c r="J96" s="114"/>
      <c r="K96" s="114"/>
      <c r="L96" s="114"/>
      <c r="M96" s="114"/>
      <c r="N96" s="114"/>
      <c r="O96" s="114"/>
      <c r="P96" s="114"/>
      <c r="Q96" s="114"/>
      <c r="R96" s="114"/>
    </row>
    <row r="97" spans="1:18" x14ac:dyDescent="0.15">
      <c r="A97" s="114"/>
      <c r="B97" s="425" t="s">
        <v>299</v>
      </c>
      <c r="C97" s="426"/>
      <c r="D97" s="114"/>
      <c r="E97" s="114"/>
      <c r="F97" s="114"/>
      <c r="G97" s="114"/>
      <c r="H97" s="114"/>
      <c r="I97" s="114"/>
      <c r="J97" s="114"/>
      <c r="K97" s="114"/>
      <c r="L97" s="114"/>
      <c r="M97" s="114"/>
      <c r="N97" s="114"/>
      <c r="O97" s="114"/>
      <c r="P97" s="114"/>
      <c r="Q97" s="114"/>
      <c r="R97" s="114"/>
    </row>
    <row r="98" spans="1:18" x14ac:dyDescent="0.15">
      <c r="A98" s="114"/>
      <c r="B98" s="114" t="s">
        <v>300</v>
      </c>
      <c r="C98" s="426"/>
      <c r="D98" s="114"/>
      <c r="E98" s="114"/>
      <c r="F98" s="114"/>
      <c r="G98" s="114"/>
      <c r="H98" s="114"/>
      <c r="I98" s="114"/>
      <c r="J98" s="114"/>
      <c r="K98" s="114"/>
      <c r="L98" s="114"/>
      <c r="M98" s="114"/>
      <c r="N98" s="114"/>
      <c r="O98" s="114"/>
      <c r="P98" s="114"/>
      <c r="Q98" s="114"/>
      <c r="R98" s="114"/>
    </row>
    <row r="99" spans="1:18" x14ac:dyDescent="0.15">
      <c r="A99" s="114"/>
      <c r="B99" s="114" t="s">
        <v>1391</v>
      </c>
      <c r="C99" s="426"/>
      <c r="D99" s="114"/>
      <c r="E99" s="114"/>
      <c r="F99" s="114"/>
      <c r="G99" s="114"/>
      <c r="H99" s="114"/>
      <c r="I99" s="114"/>
      <c r="J99" s="114"/>
      <c r="K99" s="114"/>
      <c r="L99" s="114"/>
      <c r="M99" s="114"/>
      <c r="N99" s="114"/>
      <c r="O99" s="114"/>
      <c r="P99" s="114"/>
      <c r="Q99" s="114"/>
      <c r="R99" s="114"/>
    </row>
    <row r="100" spans="1:18" x14ac:dyDescent="0.15">
      <c r="A100" s="114"/>
      <c r="B100" s="114"/>
      <c r="C100" s="114"/>
      <c r="D100" s="114"/>
      <c r="E100" s="114"/>
      <c r="F100" s="114"/>
      <c r="G100" s="114"/>
      <c r="H100" s="114"/>
      <c r="I100" s="114"/>
      <c r="J100" s="114"/>
      <c r="K100" s="114"/>
      <c r="L100" s="114"/>
      <c r="M100" s="114"/>
      <c r="N100" s="114"/>
      <c r="O100" s="114"/>
      <c r="P100" s="114"/>
      <c r="Q100" s="114"/>
      <c r="R100" s="114"/>
    </row>
    <row r="101" spans="1:18" x14ac:dyDescent="0.15">
      <c r="A101" s="114"/>
      <c r="B101" s="114"/>
      <c r="C101" s="114"/>
      <c r="D101" s="114"/>
      <c r="E101" s="114"/>
      <c r="F101" s="114"/>
      <c r="G101" s="114"/>
      <c r="H101" s="114"/>
      <c r="I101" s="114"/>
      <c r="J101" s="114"/>
      <c r="K101" s="114"/>
      <c r="L101" s="114"/>
      <c r="M101" s="114"/>
      <c r="N101" s="114"/>
      <c r="O101" s="114"/>
      <c r="P101" s="114"/>
      <c r="Q101" s="114"/>
      <c r="R101" s="114"/>
    </row>
    <row r="102" spans="1:18" x14ac:dyDescent="0.15">
      <c r="A102" s="114"/>
      <c r="B102" s="114"/>
      <c r="C102" s="114"/>
      <c r="D102" s="114"/>
      <c r="E102" s="114"/>
      <c r="F102" s="114"/>
      <c r="G102" s="114"/>
      <c r="H102" s="114"/>
      <c r="I102" s="114"/>
      <c r="J102" s="114"/>
      <c r="K102" s="114"/>
      <c r="L102" s="114"/>
      <c r="M102" s="114"/>
      <c r="N102" s="114"/>
      <c r="O102" s="114"/>
      <c r="P102" s="114"/>
      <c r="Q102" s="114"/>
      <c r="R102" s="114"/>
    </row>
    <row r="103" spans="1:18" x14ac:dyDescent="0.15">
      <c r="A103" s="114"/>
      <c r="B103" s="114"/>
      <c r="C103" s="114"/>
      <c r="D103" s="114"/>
      <c r="E103" s="114"/>
      <c r="F103" s="114"/>
      <c r="G103" s="114"/>
      <c r="H103" s="114"/>
      <c r="I103" s="114"/>
      <c r="J103" s="114"/>
      <c r="K103" s="114"/>
      <c r="L103" s="114"/>
      <c r="M103" s="114"/>
      <c r="N103" s="114"/>
      <c r="O103" s="114"/>
      <c r="P103" s="114"/>
      <c r="Q103" s="114"/>
      <c r="R103" s="114"/>
    </row>
    <row r="104" spans="1:18" x14ac:dyDescent="0.15">
      <c r="A104" s="114"/>
      <c r="B104" s="114"/>
      <c r="C104" s="114"/>
      <c r="D104" s="114"/>
      <c r="E104" s="114"/>
      <c r="F104" s="114"/>
      <c r="G104" s="114"/>
      <c r="H104" s="114"/>
      <c r="I104" s="114"/>
      <c r="J104" s="114"/>
      <c r="K104" s="114"/>
      <c r="L104" s="114"/>
      <c r="M104" s="114"/>
      <c r="N104" s="114"/>
      <c r="O104" s="114"/>
      <c r="P104" s="114"/>
      <c r="Q104" s="114"/>
      <c r="R104" s="114"/>
    </row>
    <row r="105" spans="1:18" x14ac:dyDescent="0.15">
      <c r="A105" s="114"/>
      <c r="B105" s="114"/>
      <c r="C105" s="114"/>
      <c r="D105" s="114"/>
      <c r="E105" s="114"/>
      <c r="F105" s="114"/>
      <c r="G105" s="114"/>
      <c r="H105" s="114"/>
      <c r="I105" s="114"/>
      <c r="J105" s="114"/>
      <c r="K105" s="114"/>
      <c r="L105" s="114"/>
      <c r="M105" s="114"/>
      <c r="N105" s="114"/>
      <c r="O105" s="114"/>
      <c r="P105" s="114"/>
      <c r="Q105" s="114"/>
      <c r="R105" s="114"/>
    </row>
    <row r="106" spans="1:18" x14ac:dyDescent="0.15">
      <c r="A106" s="114"/>
      <c r="B106" s="114"/>
      <c r="C106" s="114"/>
      <c r="D106" s="114"/>
      <c r="E106" s="114"/>
      <c r="F106" s="114"/>
      <c r="G106" s="114"/>
      <c r="H106" s="114"/>
      <c r="I106" s="114"/>
      <c r="J106" s="114"/>
      <c r="K106" s="114"/>
      <c r="L106" s="114"/>
      <c r="M106" s="114"/>
      <c r="N106" s="114"/>
      <c r="O106" s="114"/>
      <c r="P106" s="114"/>
      <c r="Q106" s="114"/>
      <c r="R106" s="114"/>
    </row>
    <row r="107" spans="1:18" x14ac:dyDescent="0.15">
      <c r="A107" s="114"/>
      <c r="B107" s="114"/>
      <c r="C107" s="114"/>
      <c r="D107" s="114"/>
      <c r="E107" s="114"/>
      <c r="F107" s="114"/>
      <c r="G107" s="114"/>
      <c r="H107" s="114"/>
      <c r="I107" s="114"/>
      <c r="J107" s="114"/>
      <c r="K107" s="114"/>
      <c r="L107" s="114"/>
      <c r="M107" s="114"/>
      <c r="N107" s="114"/>
      <c r="O107" s="114"/>
      <c r="P107" s="114"/>
      <c r="Q107" s="114"/>
      <c r="R107" s="114"/>
    </row>
    <row r="108" spans="1:18" x14ac:dyDescent="0.15">
      <c r="A108" s="114"/>
      <c r="B108" s="114"/>
      <c r="C108" s="114"/>
      <c r="D108" s="114"/>
      <c r="E108" s="114"/>
      <c r="F108" s="114"/>
      <c r="G108" s="114"/>
      <c r="H108" s="114"/>
      <c r="I108" s="114"/>
      <c r="J108" s="114"/>
      <c r="K108" s="114"/>
      <c r="L108" s="114"/>
      <c r="M108" s="114"/>
      <c r="N108" s="114"/>
      <c r="O108" s="114"/>
      <c r="P108" s="114"/>
      <c r="Q108" s="114"/>
      <c r="R108" s="114"/>
    </row>
    <row r="109" spans="1:18" x14ac:dyDescent="0.15">
      <c r="A109" s="114"/>
      <c r="B109" s="114"/>
      <c r="C109" s="114"/>
      <c r="D109" s="114"/>
      <c r="E109" s="114"/>
      <c r="F109" s="114"/>
      <c r="G109" s="114"/>
      <c r="H109" s="114"/>
      <c r="I109" s="114"/>
      <c r="J109" s="114"/>
      <c r="K109" s="114"/>
      <c r="L109" s="114"/>
      <c r="M109" s="114"/>
      <c r="N109" s="114"/>
      <c r="O109" s="114"/>
      <c r="P109" s="114"/>
      <c r="Q109" s="114"/>
      <c r="R109" s="114"/>
    </row>
    <row r="110" spans="1:18" x14ac:dyDescent="0.15">
      <c r="A110" s="114"/>
      <c r="B110" s="114"/>
      <c r="C110" s="114"/>
      <c r="D110" s="114"/>
      <c r="E110" s="114"/>
      <c r="F110" s="114"/>
      <c r="G110" s="114"/>
      <c r="H110" s="114"/>
      <c r="I110" s="114"/>
      <c r="J110" s="114"/>
      <c r="K110" s="114"/>
      <c r="L110" s="114"/>
      <c r="M110" s="114"/>
      <c r="N110" s="114"/>
      <c r="O110" s="114"/>
      <c r="P110" s="114"/>
      <c r="Q110" s="114"/>
      <c r="R110" s="114"/>
    </row>
    <row r="111" spans="1:18" x14ac:dyDescent="0.15">
      <c r="A111" s="114"/>
      <c r="B111" s="114"/>
      <c r="C111" s="114"/>
      <c r="D111" s="114"/>
      <c r="E111" s="114"/>
      <c r="F111" s="114"/>
      <c r="G111" s="114"/>
      <c r="H111" s="114"/>
      <c r="I111" s="114"/>
      <c r="J111" s="114"/>
      <c r="K111" s="114"/>
      <c r="L111" s="114"/>
      <c r="M111" s="114"/>
      <c r="N111" s="114"/>
      <c r="O111" s="114"/>
      <c r="P111" s="114"/>
      <c r="Q111" s="114"/>
      <c r="R111" s="114"/>
    </row>
    <row r="112" spans="1:18" x14ac:dyDescent="0.15">
      <c r="A112" s="114" t="s">
        <v>301</v>
      </c>
      <c r="B112" s="114"/>
      <c r="C112" s="114"/>
      <c r="D112" s="114"/>
      <c r="E112" s="114"/>
      <c r="F112" s="114"/>
      <c r="G112" s="114">
        <f>K60</f>
        <v>400</v>
      </c>
      <c r="H112" s="114" t="s">
        <v>302</v>
      </c>
      <c r="I112" s="114"/>
      <c r="J112" s="114"/>
      <c r="K112" s="114"/>
      <c r="L112" s="114"/>
      <c r="M112" s="114"/>
      <c r="N112" s="114"/>
      <c r="O112" s="114"/>
      <c r="P112" s="114"/>
      <c r="Q112" s="114" t="s">
        <v>303</v>
      </c>
      <c r="R112" s="114"/>
    </row>
    <row r="113" spans="1:18" x14ac:dyDescent="0.15">
      <c r="A113" s="115" t="s">
        <v>304</v>
      </c>
      <c r="B113" s="116"/>
      <c r="C113" s="116"/>
      <c r="D113" s="116"/>
      <c r="E113" s="736" t="s">
        <v>305</v>
      </c>
      <c r="F113" s="737"/>
      <c r="G113" s="9" t="s">
        <v>306</v>
      </c>
      <c r="H113" s="9" t="s">
        <v>307</v>
      </c>
      <c r="I113" s="10" t="s">
        <v>308</v>
      </c>
      <c r="J113" s="10"/>
      <c r="K113" s="10"/>
      <c r="L113" s="7" t="s">
        <v>309</v>
      </c>
      <c r="M113" s="10"/>
      <c r="N113" s="10"/>
      <c r="O113" s="11"/>
      <c r="P113" s="10" t="s">
        <v>310</v>
      </c>
      <c r="Q113" s="10"/>
      <c r="R113" s="11"/>
    </row>
    <row r="114" spans="1:18" x14ac:dyDescent="0.15">
      <c r="A114" s="117" t="s">
        <v>311</v>
      </c>
      <c r="B114" s="118"/>
      <c r="C114" s="118"/>
      <c r="D114" s="118"/>
      <c r="E114" s="4"/>
      <c r="F114" s="5"/>
      <c r="G114" s="366" t="s">
        <v>312</v>
      </c>
      <c r="H114" s="107">
        <f>条件入力!T21</f>
        <v>1</v>
      </c>
      <c r="I114" s="700">
        <f>条件入力!D26</f>
        <v>0</v>
      </c>
      <c r="J114" s="701"/>
      <c r="K114" s="702"/>
      <c r="L114" s="700">
        <f>H114*I114</f>
        <v>0</v>
      </c>
      <c r="M114" s="701"/>
      <c r="N114" s="701"/>
      <c r="O114" s="702"/>
      <c r="P114" s="5" t="s">
        <v>313</v>
      </c>
      <c r="Q114" s="5"/>
      <c r="R114" s="6"/>
    </row>
    <row r="115" spans="1:18" x14ac:dyDescent="0.15">
      <c r="A115" s="119" t="s">
        <v>314</v>
      </c>
      <c r="B115" s="118"/>
      <c r="C115" s="118"/>
      <c r="D115" s="118"/>
      <c r="E115" s="4"/>
      <c r="F115" s="5"/>
      <c r="G115" s="366" t="s">
        <v>312</v>
      </c>
      <c r="H115" s="366">
        <f>ROUNDUP(条件入力!M18/バランスシート!G23,0)</f>
        <v>42</v>
      </c>
      <c r="I115" s="700">
        <f>条件入力!D27</f>
        <v>0</v>
      </c>
      <c r="J115" s="701"/>
      <c r="K115" s="702"/>
      <c r="L115" s="700">
        <f>H115*I115</f>
        <v>0</v>
      </c>
      <c r="M115" s="701"/>
      <c r="N115" s="701"/>
      <c r="O115" s="702"/>
      <c r="P115" s="5" t="s">
        <v>315</v>
      </c>
      <c r="Q115" s="5"/>
      <c r="R115" s="6"/>
    </row>
    <row r="116" spans="1:18" x14ac:dyDescent="0.15">
      <c r="A116" s="119" t="s">
        <v>316</v>
      </c>
      <c r="B116" s="118"/>
      <c r="C116" s="118"/>
      <c r="D116" s="118"/>
      <c r="E116" s="4"/>
      <c r="F116" s="5"/>
      <c r="G116" s="366" t="s">
        <v>317</v>
      </c>
      <c r="H116" s="135">
        <f>条件入力!M18</f>
        <v>100</v>
      </c>
      <c r="I116" s="5"/>
      <c r="J116" s="5"/>
      <c r="K116" s="5"/>
      <c r="L116" s="700">
        <f>L131</f>
        <v>11314258</v>
      </c>
      <c r="M116" s="701"/>
      <c r="N116" s="701"/>
      <c r="O116" s="702"/>
      <c r="P116" s="5" t="s">
        <v>318</v>
      </c>
      <c r="Q116" s="5"/>
      <c r="R116" s="6"/>
    </row>
    <row r="117" spans="1:18" x14ac:dyDescent="0.15">
      <c r="A117" s="119" t="s">
        <v>319</v>
      </c>
      <c r="B117" s="118"/>
      <c r="C117" s="118"/>
      <c r="D117" s="118"/>
      <c r="E117" s="4"/>
      <c r="F117" s="5"/>
      <c r="G117" s="366" t="s">
        <v>317</v>
      </c>
      <c r="H117" s="366"/>
      <c r="I117" s="5"/>
      <c r="J117" s="5"/>
      <c r="K117" s="5"/>
      <c r="L117" s="700"/>
      <c r="M117" s="701"/>
      <c r="N117" s="701"/>
      <c r="O117" s="702"/>
      <c r="P117" s="5" t="s">
        <v>320</v>
      </c>
      <c r="Q117" s="5"/>
      <c r="R117" s="6"/>
    </row>
    <row r="118" spans="1:18" x14ac:dyDescent="0.15">
      <c r="A118" s="119" t="s">
        <v>321</v>
      </c>
      <c r="B118" s="118"/>
      <c r="C118" s="118"/>
      <c r="D118" s="118"/>
      <c r="E118" s="4"/>
      <c r="F118" s="5"/>
      <c r="G118" s="366" t="s">
        <v>322</v>
      </c>
      <c r="H118" s="366">
        <v>1</v>
      </c>
      <c r="I118" s="5"/>
      <c r="J118" s="5"/>
      <c r="K118" s="5"/>
      <c r="L118" s="700">
        <f>L149</f>
        <v>969387</v>
      </c>
      <c r="M118" s="701"/>
      <c r="N118" s="701"/>
      <c r="O118" s="702"/>
      <c r="P118" s="5" t="s">
        <v>323</v>
      </c>
      <c r="Q118" s="5"/>
      <c r="R118" s="6"/>
    </row>
    <row r="119" spans="1:18" x14ac:dyDescent="0.15">
      <c r="A119" s="119" t="s">
        <v>324</v>
      </c>
      <c r="B119" s="118"/>
      <c r="C119" s="118"/>
      <c r="D119" s="118"/>
      <c r="E119" s="4"/>
      <c r="F119" s="5"/>
      <c r="G119" s="366" t="s">
        <v>322</v>
      </c>
      <c r="H119" s="366">
        <v>1</v>
      </c>
      <c r="I119" s="5"/>
      <c r="J119" s="5"/>
      <c r="K119" s="5"/>
      <c r="L119" s="700">
        <f>L171</f>
        <v>1809966</v>
      </c>
      <c r="M119" s="701"/>
      <c r="N119" s="701"/>
      <c r="O119" s="702"/>
      <c r="P119" s="5" t="s">
        <v>325</v>
      </c>
      <c r="Q119" s="5"/>
      <c r="R119" s="6"/>
    </row>
    <row r="120" spans="1:18" x14ac:dyDescent="0.15">
      <c r="A120" s="119" t="s">
        <v>326</v>
      </c>
      <c r="B120" s="118"/>
      <c r="C120" s="118"/>
      <c r="D120" s="118"/>
      <c r="E120" s="4"/>
      <c r="F120" s="5"/>
      <c r="G120" s="366" t="s">
        <v>322</v>
      </c>
      <c r="H120" s="366">
        <v>1</v>
      </c>
      <c r="I120" s="5"/>
      <c r="J120" s="5"/>
      <c r="K120" s="5"/>
      <c r="L120" s="700">
        <f>L181</f>
        <v>1890824.715337734</v>
      </c>
      <c r="M120" s="701"/>
      <c r="N120" s="701"/>
      <c r="O120" s="702"/>
      <c r="P120" s="5" t="s">
        <v>327</v>
      </c>
      <c r="Q120" s="5"/>
      <c r="R120" s="6"/>
    </row>
    <row r="121" spans="1:18" x14ac:dyDescent="0.15">
      <c r="A121" s="119" t="s">
        <v>328</v>
      </c>
      <c r="B121" s="118"/>
      <c r="C121" s="118"/>
      <c r="D121" s="118"/>
      <c r="E121" s="4"/>
      <c r="F121" s="5"/>
      <c r="G121" s="366" t="s">
        <v>322</v>
      </c>
      <c r="H121" s="366">
        <v>1</v>
      </c>
      <c r="I121" s="5"/>
      <c r="J121" s="5"/>
      <c r="K121" s="5"/>
      <c r="L121" s="700">
        <f>L187</f>
        <v>145557</v>
      </c>
      <c r="M121" s="701"/>
      <c r="N121" s="701"/>
      <c r="O121" s="702"/>
      <c r="P121" s="5" t="s">
        <v>329</v>
      </c>
      <c r="Q121" s="5"/>
      <c r="R121" s="6"/>
    </row>
    <row r="122" spans="1:18" x14ac:dyDescent="0.15">
      <c r="A122" s="119" t="s">
        <v>330</v>
      </c>
      <c r="B122" s="118"/>
      <c r="C122" s="118"/>
      <c r="D122" s="118"/>
      <c r="E122" s="4"/>
      <c r="F122" s="5"/>
      <c r="G122" s="366" t="s">
        <v>322</v>
      </c>
      <c r="H122" s="366">
        <v>1</v>
      </c>
      <c r="I122" s="5"/>
      <c r="J122" s="5"/>
      <c r="K122" s="5"/>
      <c r="L122" s="700">
        <f>L192</f>
        <v>46364</v>
      </c>
      <c r="M122" s="701"/>
      <c r="N122" s="701"/>
      <c r="O122" s="702"/>
      <c r="P122" s="5" t="s">
        <v>331</v>
      </c>
      <c r="Q122" s="5"/>
      <c r="R122" s="6"/>
    </row>
    <row r="123" spans="1:18" x14ac:dyDescent="0.15">
      <c r="A123" s="119" t="s">
        <v>332</v>
      </c>
      <c r="B123" s="118"/>
      <c r="C123" s="118"/>
      <c r="D123" s="121"/>
      <c r="F123" s="6"/>
      <c r="G123" s="366" t="s">
        <v>322</v>
      </c>
      <c r="H123" s="366">
        <v>1</v>
      </c>
      <c r="K123" s="6"/>
      <c r="L123" s="700">
        <f>L559</f>
        <v>302395.8</v>
      </c>
      <c r="M123" s="704"/>
      <c r="N123" s="704"/>
      <c r="O123" s="705"/>
      <c r="P123" s="4"/>
    </row>
    <row r="124" spans="1:18" x14ac:dyDescent="0.15">
      <c r="A124" s="726" t="s">
        <v>184</v>
      </c>
      <c r="B124" s="727"/>
      <c r="C124" s="727"/>
      <c r="D124" s="728"/>
      <c r="E124" s="4"/>
      <c r="F124" s="5"/>
      <c r="G124" s="8"/>
      <c r="H124" s="8"/>
      <c r="I124" s="5"/>
      <c r="J124" s="5"/>
      <c r="K124" s="5"/>
      <c r="L124" s="700">
        <f>SUM(L114:O122)</f>
        <v>16176356.715337735</v>
      </c>
      <c r="M124" s="701"/>
      <c r="N124" s="701"/>
      <c r="O124" s="702"/>
      <c r="P124" s="5"/>
      <c r="Q124" s="5"/>
      <c r="R124" s="6"/>
    </row>
    <row r="125" spans="1:18" x14ac:dyDescent="0.15">
      <c r="A125" s="120"/>
      <c r="B125" s="120"/>
      <c r="C125" s="120"/>
      <c r="D125" s="120"/>
      <c r="E125" s="2"/>
      <c r="F125" s="2"/>
      <c r="G125" s="2"/>
      <c r="H125" s="2"/>
      <c r="I125" s="2"/>
      <c r="J125" s="2"/>
      <c r="K125" s="2"/>
      <c r="L125" s="2"/>
      <c r="M125" s="2"/>
      <c r="N125" s="2"/>
      <c r="O125" s="2"/>
      <c r="P125" s="2"/>
      <c r="Q125" s="2"/>
      <c r="R125" s="2"/>
    </row>
    <row r="126" spans="1:18" x14ac:dyDescent="0.15">
      <c r="A126" s="114" t="s">
        <v>333</v>
      </c>
      <c r="B126" s="114"/>
      <c r="C126" s="114"/>
      <c r="D126" s="114"/>
      <c r="Q126" s="1" t="s">
        <v>303</v>
      </c>
    </row>
    <row r="127" spans="1:18" x14ac:dyDescent="0.15">
      <c r="A127" s="115" t="s">
        <v>304</v>
      </c>
      <c r="B127" s="116"/>
      <c r="C127" s="116"/>
      <c r="D127" s="116"/>
      <c r="E127" s="736" t="s">
        <v>305</v>
      </c>
      <c r="F127" s="737"/>
      <c r="G127" s="9" t="s">
        <v>306</v>
      </c>
      <c r="H127" s="9" t="s">
        <v>307</v>
      </c>
      <c r="I127" s="10" t="s">
        <v>308</v>
      </c>
      <c r="J127" s="10"/>
      <c r="K127" s="10"/>
      <c r="L127" s="7" t="s">
        <v>309</v>
      </c>
      <c r="M127" s="10"/>
      <c r="N127" s="10"/>
      <c r="O127" s="11"/>
      <c r="P127" s="10" t="s">
        <v>310</v>
      </c>
      <c r="Q127" s="10"/>
      <c r="R127" s="11"/>
    </row>
    <row r="128" spans="1:18" x14ac:dyDescent="0.15">
      <c r="A128" s="119" t="s">
        <v>334</v>
      </c>
      <c r="B128" s="118"/>
      <c r="C128" s="118"/>
      <c r="D128" s="118"/>
      <c r="E128" s="4"/>
      <c r="F128" s="5"/>
      <c r="G128" s="366" t="s">
        <v>317</v>
      </c>
      <c r="H128" s="108">
        <f>条件入力!M18</f>
        <v>100</v>
      </c>
      <c r="I128" s="700">
        <f>L231</f>
        <v>32212</v>
      </c>
      <c r="J128" s="701"/>
      <c r="K128" s="702"/>
      <c r="L128" s="700">
        <f>H128*I128</f>
        <v>3221200</v>
      </c>
      <c r="M128" s="701"/>
      <c r="N128" s="701"/>
      <c r="O128" s="702"/>
      <c r="P128" s="5" t="s">
        <v>335</v>
      </c>
      <c r="Q128" s="5"/>
      <c r="R128" s="6"/>
    </row>
    <row r="129" spans="1:18" x14ac:dyDescent="0.15">
      <c r="A129" s="119" t="s">
        <v>336</v>
      </c>
      <c r="B129" s="118"/>
      <c r="C129" s="118"/>
      <c r="D129" s="118"/>
      <c r="E129" s="4"/>
      <c r="F129" s="5"/>
      <c r="G129" s="366" t="s">
        <v>322</v>
      </c>
      <c r="H129" s="366">
        <v>1</v>
      </c>
      <c r="I129" s="700"/>
      <c r="J129" s="701"/>
      <c r="K129" s="702"/>
      <c r="L129" s="700">
        <f>L592</f>
        <v>8093058</v>
      </c>
      <c r="M129" s="701"/>
      <c r="N129" s="701"/>
      <c r="O129" s="702"/>
      <c r="P129" s="5" t="s">
        <v>337</v>
      </c>
      <c r="Q129" s="5"/>
      <c r="R129" s="6"/>
    </row>
    <row r="130" spans="1:18" x14ac:dyDescent="0.15">
      <c r="A130" s="119" t="s">
        <v>338</v>
      </c>
      <c r="B130" s="118"/>
      <c r="C130" s="118"/>
      <c r="D130" s="118"/>
      <c r="E130" s="4"/>
      <c r="F130" s="5"/>
      <c r="G130" s="366" t="s">
        <v>322</v>
      </c>
      <c r="H130" s="366">
        <v>1</v>
      </c>
      <c r="I130" s="700"/>
      <c r="J130" s="701"/>
      <c r="K130" s="702"/>
      <c r="L130" s="700">
        <f>L601</f>
        <v>0</v>
      </c>
      <c r="M130" s="701"/>
      <c r="N130" s="701"/>
      <c r="O130" s="702"/>
      <c r="P130" s="5" t="s">
        <v>339</v>
      </c>
      <c r="Q130" s="5"/>
      <c r="R130" s="6"/>
    </row>
    <row r="131" spans="1:18" x14ac:dyDescent="0.15">
      <c r="A131" s="726" t="s">
        <v>184</v>
      </c>
      <c r="B131" s="727"/>
      <c r="C131" s="727"/>
      <c r="D131" s="728"/>
      <c r="E131" s="4"/>
      <c r="F131" s="5"/>
      <c r="G131" s="8"/>
      <c r="H131" s="8"/>
      <c r="I131" s="5"/>
      <c r="J131" s="5"/>
      <c r="K131" s="5"/>
      <c r="L131" s="700">
        <f>SUM(L128:O130)</f>
        <v>11314258</v>
      </c>
      <c r="M131" s="701"/>
      <c r="N131" s="701"/>
      <c r="O131" s="702"/>
      <c r="P131" s="5"/>
      <c r="Q131" s="5"/>
      <c r="R131" s="6"/>
    </row>
    <row r="132" spans="1:18" x14ac:dyDescent="0.15">
      <c r="A132" s="114"/>
      <c r="B132" s="114"/>
      <c r="C132" s="114"/>
      <c r="D132" s="114"/>
    </row>
    <row r="133" spans="1:18" x14ac:dyDescent="0.15">
      <c r="A133" s="114" t="s">
        <v>340</v>
      </c>
      <c r="B133" s="114"/>
      <c r="C133" s="114"/>
      <c r="D133" s="114"/>
      <c r="Q133" s="1" t="s">
        <v>303</v>
      </c>
    </row>
    <row r="134" spans="1:18" x14ac:dyDescent="0.15">
      <c r="A134" s="115" t="s">
        <v>304</v>
      </c>
      <c r="B134" s="116"/>
      <c r="C134" s="116"/>
      <c r="D134" s="116"/>
      <c r="E134" s="736" t="s">
        <v>305</v>
      </c>
      <c r="F134" s="737"/>
      <c r="G134" s="9" t="s">
        <v>306</v>
      </c>
      <c r="H134" s="9" t="s">
        <v>307</v>
      </c>
      <c r="I134" s="10" t="s">
        <v>308</v>
      </c>
      <c r="J134" s="10"/>
      <c r="K134" s="10"/>
      <c r="L134" s="7" t="s">
        <v>309</v>
      </c>
      <c r="M134" s="10"/>
      <c r="N134" s="10"/>
      <c r="O134" s="11"/>
      <c r="P134" s="10" t="s">
        <v>310</v>
      </c>
      <c r="Q134" s="10"/>
      <c r="R134" s="11"/>
    </row>
    <row r="135" spans="1:18" x14ac:dyDescent="0.15">
      <c r="A135" s="119" t="s">
        <v>341</v>
      </c>
      <c r="B135" s="118"/>
      <c r="C135" s="118"/>
      <c r="D135" s="121"/>
      <c r="E135" s="5"/>
      <c r="F135" s="5"/>
      <c r="G135" s="366"/>
      <c r="H135" s="107"/>
      <c r="I135" s="700"/>
      <c r="J135" s="704"/>
      <c r="K135" s="705"/>
      <c r="L135" s="700"/>
      <c r="M135" s="701"/>
      <c r="N135" s="701"/>
      <c r="O135" s="702"/>
      <c r="P135" s="5" t="s">
        <v>342</v>
      </c>
      <c r="Q135" s="5"/>
      <c r="R135" s="6"/>
    </row>
    <row r="136" spans="1:18" x14ac:dyDescent="0.15">
      <c r="A136" s="119" t="s">
        <v>343</v>
      </c>
      <c r="B136" s="118"/>
      <c r="C136" s="118"/>
      <c r="D136" s="121"/>
      <c r="E136" s="5"/>
      <c r="F136" s="5"/>
      <c r="G136" s="366" t="s">
        <v>344</v>
      </c>
      <c r="H136" s="107">
        <f>条件入力!T21</f>
        <v>1</v>
      </c>
      <c r="I136" s="700">
        <f>L248</f>
        <v>144683</v>
      </c>
      <c r="J136" s="704"/>
      <c r="K136" s="705"/>
      <c r="L136" s="700">
        <f t="shared" ref="L136:L145" si="0">H136*I136</f>
        <v>144683</v>
      </c>
      <c r="M136" s="701"/>
      <c r="N136" s="701"/>
      <c r="O136" s="702"/>
      <c r="P136" s="5" t="s">
        <v>345</v>
      </c>
      <c r="Q136" s="5"/>
      <c r="R136" s="6"/>
    </row>
    <row r="137" spans="1:18" x14ac:dyDescent="0.15">
      <c r="A137" s="119" t="s">
        <v>346</v>
      </c>
      <c r="B137" s="118"/>
      <c r="C137" s="118"/>
      <c r="D137" s="121"/>
      <c r="E137" s="5"/>
      <c r="F137" s="5"/>
      <c r="G137" s="366" t="s">
        <v>344</v>
      </c>
      <c r="H137" s="107">
        <f>条件入力!T21</f>
        <v>1</v>
      </c>
      <c r="I137" s="700">
        <f>L257</f>
        <v>149683</v>
      </c>
      <c r="J137" s="704"/>
      <c r="K137" s="705"/>
      <c r="L137" s="700">
        <f t="shared" si="0"/>
        <v>149683</v>
      </c>
      <c r="M137" s="701"/>
      <c r="N137" s="701"/>
      <c r="O137" s="702"/>
      <c r="P137" s="5" t="s">
        <v>347</v>
      </c>
      <c r="Q137" s="5"/>
      <c r="R137" s="6"/>
    </row>
    <row r="138" spans="1:18" x14ac:dyDescent="0.15">
      <c r="A138" s="117" t="s">
        <v>348</v>
      </c>
      <c r="B138" s="118"/>
      <c r="C138" s="118"/>
      <c r="D138" s="121"/>
      <c r="E138" s="5"/>
      <c r="F138" s="5"/>
      <c r="G138" s="366" t="s">
        <v>344</v>
      </c>
      <c r="H138" s="107">
        <f>条件入力!T21</f>
        <v>1</v>
      </c>
      <c r="I138" s="700">
        <f>L289</f>
        <v>315800</v>
      </c>
      <c r="J138" s="704"/>
      <c r="K138" s="705"/>
      <c r="L138" s="700">
        <f t="shared" si="0"/>
        <v>315800</v>
      </c>
      <c r="M138" s="701"/>
      <c r="N138" s="701"/>
      <c r="O138" s="702"/>
      <c r="P138" s="5" t="s">
        <v>349</v>
      </c>
      <c r="Q138" s="5"/>
      <c r="R138" s="6"/>
    </row>
    <row r="139" spans="1:18" x14ac:dyDescent="0.15">
      <c r="A139" s="115" t="s">
        <v>350</v>
      </c>
      <c r="B139" s="118"/>
      <c r="C139" s="118"/>
      <c r="D139" s="121"/>
      <c r="E139" s="5"/>
      <c r="F139" s="5"/>
      <c r="G139" s="366" t="s">
        <v>344</v>
      </c>
      <c r="H139" s="107">
        <f>条件入力!T21</f>
        <v>1</v>
      </c>
      <c r="I139" s="700">
        <f>L297</f>
        <v>28879</v>
      </c>
      <c r="J139" s="704"/>
      <c r="K139" s="705"/>
      <c r="L139" s="700">
        <f t="shared" si="0"/>
        <v>28879</v>
      </c>
      <c r="M139" s="701"/>
      <c r="N139" s="701"/>
      <c r="O139" s="702"/>
      <c r="P139" s="5" t="s">
        <v>351</v>
      </c>
      <c r="Q139" s="5"/>
      <c r="R139" s="6"/>
    </row>
    <row r="140" spans="1:18" x14ac:dyDescent="0.15">
      <c r="A140" s="119" t="s">
        <v>352</v>
      </c>
      <c r="B140" s="118"/>
      <c r="C140" s="118"/>
      <c r="D140" s="121"/>
      <c r="E140" s="5"/>
      <c r="F140" s="5"/>
      <c r="G140" s="366" t="s">
        <v>217</v>
      </c>
      <c r="H140" s="107">
        <f>条件入力!T21</f>
        <v>1</v>
      </c>
      <c r="I140" s="700">
        <f>L320</f>
        <v>119250</v>
      </c>
      <c r="J140" s="704"/>
      <c r="K140" s="705"/>
      <c r="L140" s="700">
        <f t="shared" si="0"/>
        <v>119250</v>
      </c>
      <c r="M140" s="701"/>
      <c r="N140" s="701"/>
      <c r="O140" s="702"/>
      <c r="P140" s="5" t="s">
        <v>353</v>
      </c>
      <c r="Q140" s="5"/>
      <c r="R140" s="6"/>
    </row>
    <row r="141" spans="1:18" x14ac:dyDescent="0.15">
      <c r="A141" s="119" t="s">
        <v>354</v>
      </c>
      <c r="B141" s="118"/>
      <c r="C141" s="118"/>
      <c r="D141" s="121"/>
      <c r="E141" s="5"/>
      <c r="F141" s="5"/>
      <c r="G141" s="366" t="s">
        <v>217</v>
      </c>
      <c r="H141" s="107">
        <f>条件入力!T24</f>
        <v>1</v>
      </c>
      <c r="I141" s="700">
        <f>L333</f>
        <v>82250</v>
      </c>
      <c r="J141" s="704"/>
      <c r="K141" s="705"/>
      <c r="L141" s="700">
        <f t="shared" si="0"/>
        <v>82250</v>
      </c>
      <c r="M141" s="701"/>
      <c r="N141" s="701"/>
      <c r="O141" s="702"/>
      <c r="P141" s="5" t="s">
        <v>355</v>
      </c>
      <c r="Q141" s="5"/>
      <c r="R141" s="6"/>
    </row>
    <row r="142" spans="1:18" x14ac:dyDescent="0.15">
      <c r="A142" s="119" t="s">
        <v>356</v>
      </c>
      <c r="B142" s="118"/>
      <c r="C142" s="118"/>
      <c r="D142" s="121"/>
      <c r="E142" s="5"/>
      <c r="F142" s="5"/>
      <c r="G142" s="366" t="s">
        <v>217</v>
      </c>
      <c r="H142" s="107">
        <f>条件入力!T23</f>
        <v>0</v>
      </c>
      <c r="I142" s="700">
        <f>L344</f>
        <v>380182</v>
      </c>
      <c r="J142" s="704"/>
      <c r="K142" s="705"/>
      <c r="L142" s="700">
        <f t="shared" si="0"/>
        <v>0</v>
      </c>
      <c r="M142" s="701"/>
      <c r="N142" s="701"/>
      <c r="O142" s="702"/>
      <c r="P142" s="5" t="s">
        <v>357</v>
      </c>
      <c r="Q142" s="5"/>
      <c r="R142" s="6"/>
    </row>
    <row r="143" spans="1:18" x14ac:dyDescent="0.15">
      <c r="A143" s="119" t="s">
        <v>358</v>
      </c>
      <c r="B143" s="118"/>
      <c r="C143" s="118"/>
      <c r="D143" s="121"/>
      <c r="E143" s="5"/>
      <c r="F143" s="5"/>
      <c r="G143" s="366" t="s">
        <v>344</v>
      </c>
      <c r="H143" s="107"/>
      <c r="I143" s="700"/>
      <c r="J143" s="704"/>
      <c r="K143" s="705"/>
      <c r="L143" s="700"/>
      <c r="M143" s="701"/>
      <c r="N143" s="701"/>
      <c r="O143" s="702"/>
      <c r="P143" s="5" t="s">
        <v>342</v>
      </c>
      <c r="Q143" s="5"/>
      <c r="R143" s="6"/>
    </row>
    <row r="144" spans="1:18" x14ac:dyDescent="0.15">
      <c r="A144" s="119" t="s">
        <v>359</v>
      </c>
      <c r="B144" s="118"/>
      <c r="C144" s="118"/>
      <c r="D144" s="121"/>
      <c r="E144" s="5"/>
      <c r="F144" s="5"/>
      <c r="G144" s="366" t="s">
        <v>344</v>
      </c>
      <c r="H144" s="107">
        <f>条件入力!T21</f>
        <v>1</v>
      </c>
      <c r="I144" s="700">
        <f>L362</f>
        <v>7861</v>
      </c>
      <c r="J144" s="704"/>
      <c r="K144" s="705"/>
      <c r="L144" s="700">
        <f t="shared" si="0"/>
        <v>7861</v>
      </c>
      <c r="M144" s="701"/>
      <c r="N144" s="701"/>
      <c r="O144" s="702"/>
      <c r="P144" s="5" t="s">
        <v>360</v>
      </c>
      <c r="Q144" s="5"/>
      <c r="R144" s="6"/>
    </row>
    <row r="145" spans="1:18" x14ac:dyDescent="0.15">
      <c r="A145" s="119" t="s">
        <v>361</v>
      </c>
      <c r="B145" s="118"/>
      <c r="C145" s="118"/>
      <c r="D145" s="121"/>
      <c r="E145" s="5"/>
      <c r="F145" s="5"/>
      <c r="G145" s="366" t="s">
        <v>344</v>
      </c>
      <c r="H145" s="107">
        <f>条件入力!T21</f>
        <v>1</v>
      </c>
      <c r="I145" s="700">
        <f>L362</f>
        <v>7861</v>
      </c>
      <c r="J145" s="704"/>
      <c r="K145" s="705"/>
      <c r="L145" s="700">
        <f t="shared" si="0"/>
        <v>7861</v>
      </c>
      <c r="M145" s="701"/>
      <c r="N145" s="701"/>
      <c r="O145" s="702"/>
      <c r="P145" s="5" t="s">
        <v>360</v>
      </c>
      <c r="Q145" s="5"/>
      <c r="R145" s="6"/>
    </row>
    <row r="146" spans="1:18" x14ac:dyDescent="0.15">
      <c r="A146" s="119" t="s">
        <v>362</v>
      </c>
      <c r="B146" s="118"/>
      <c r="C146" s="118"/>
      <c r="D146" s="121"/>
      <c r="E146" s="5"/>
      <c r="F146" s="5"/>
      <c r="G146" s="366" t="s">
        <v>322</v>
      </c>
      <c r="H146" s="107">
        <f>条件入力!T22</f>
        <v>1</v>
      </c>
      <c r="I146" s="700">
        <f>L383</f>
        <v>113120</v>
      </c>
      <c r="J146" s="701"/>
      <c r="K146" s="702"/>
      <c r="L146" s="700">
        <f>H146*I146</f>
        <v>113120</v>
      </c>
      <c r="M146" s="701"/>
      <c r="N146" s="701"/>
      <c r="O146" s="702"/>
      <c r="P146" s="5" t="s">
        <v>363</v>
      </c>
      <c r="Q146" s="5"/>
      <c r="R146" s="6"/>
    </row>
    <row r="147" spans="1:18" x14ac:dyDescent="0.15">
      <c r="A147" s="119" t="s">
        <v>364</v>
      </c>
      <c r="B147" s="118"/>
      <c r="C147" s="118"/>
      <c r="D147" s="121"/>
      <c r="E147" s="5"/>
      <c r="F147" s="5"/>
      <c r="G147" s="366" t="s">
        <v>322</v>
      </c>
      <c r="H147" s="366">
        <v>1</v>
      </c>
      <c r="I147" s="5"/>
      <c r="J147" s="5"/>
      <c r="K147" s="6"/>
      <c r="L147" s="700">
        <f>L389</f>
        <v>0</v>
      </c>
      <c r="M147" s="701"/>
      <c r="N147" s="701"/>
      <c r="O147" s="702"/>
      <c r="P147" s="5" t="s">
        <v>365</v>
      </c>
      <c r="Q147" s="5"/>
      <c r="R147" s="6"/>
    </row>
    <row r="148" spans="1:18" x14ac:dyDescent="0.15">
      <c r="A148" s="119" t="s">
        <v>366</v>
      </c>
      <c r="B148" s="118"/>
      <c r="C148" s="118"/>
      <c r="D148" s="121"/>
      <c r="E148" s="5"/>
      <c r="F148" s="5"/>
      <c r="G148" s="366" t="s">
        <v>322</v>
      </c>
      <c r="H148" s="366">
        <f>COUNT(条件入力!X4:'条件入力'!X16)</f>
        <v>0</v>
      </c>
      <c r="I148" s="751">
        <f>L406</f>
        <v>596400</v>
      </c>
      <c r="J148" s="752"/>
      <c r="K148" s="753"/>
      <c r="L148" s="700">
        <f>H148*I148</f>
        <v>0</v>
      </c>
      <c r="M148" s="701"/>
      <c r="N148" s="701"/>
      <c r="O148" s="702"/>
      <c r="P148" s="5" t="s">
        <v>367</v>
      </c>
      <c r="Q148" s="5"/>
      <c r="R148" s="6"/>
    </row>
    <row r="149" spans="1:18" x14ac:dyDescent="0.15">
      <c r="A149" s="726" t="s">
        <v>184</v>
      </c>
      <c r="B149" s="727"/>
      <c r="C149" s="727"/>
      <c r="D149" s="728"/>
      <c r="E149" s="4"/>
      <c r="F149" s="5"/>
      <c r="G149" s="8"/>
      <c r="H149" s="8"/>
      <c r="I149" s="5"/>
      <c r="J149" s="5"/>
      <c r="K149" s="6"/>
      <c r="L149" s="700">
        <f>SUM(L135:O148)</f>
        <v>969387</v>
      </c>
      <c r="M149" s="701"/>
      <c r="N149" s="701"/>
      <c r="O149" s="702"/>
      <c r="P149" s="4"/>
      <c r="Q149" s="5"/>
      <c r="R149" s="6"/>
    </row>
    <row r="150" spans="1:18" x14ac:dyDescent="0.15">
      <c r="A150" s="114"/>
      <c r="B150" s="114"/>
      <c r="C150" s="114"/>
      <c r="D150" s="114"/>
    </row>
    <row r="151" spans="1:18" x14ac:dyDescent="0.15">
      <c r="A151" s="114"/>
      <c r="B151" s="114"/>
      <c r="C151" s="114"/>
      <c r="D151" s="114"/>
    </row>
    <row r="152" spans="1:18" x14ac:dyDescent="0.15">
      <c r="A152" s="114"/>
      <c r="B152" s="114"/>
      <c r="C152" s="114"/>
      <c r="D152" s="114"/>
    </row>
    <row r="153" spans="1:18" x14ac:dyDescent="0.15">
      <c r="A153" s="114"/>
      <c r="B153" s="114"/>
      <c r="C153" s="114"/>
      <c r="D153" s="114"/>
    </row>
    <row r="154" spans="1:18" x14ac:dyDescent="0.15">
      <c r="A154" s="114"/>
      <c r="B154" s="114"/>
      <c r="C154" s="114"/>
      <c r="D154" s="114"/>
    </row>
    <row r="155" spans="1:18" x14ac:dyDescent="0.15">
      <c r="A155" s="114"/>
      <c r="B155" s="114"/>
      <c r="C155" s="114"/>
      <c r="D155" s="114"/>
    </row>
    <row r="156" spans="1:18" x14ac:dyDescent="0.15">
      <c r="A156" s="114"/>
      <c r="B156" s="114"/>
      <c r="C156" s="114"/>
      <c r="D156" s="114"/>
    </row>
    <row r="157" spans="1:18" x14ac:dyDescent="0.15">
      <c r="A157" s="114"/>
      <c r="B157" s="114"/>
      <c r="C157" s="114"/>
      <c r="D157" s="114"/>
    </row>
    <row r="158" spans="1:18" x14ac:dyDescent="0.15">
      <c r="A158" s="114"/>
      <c r="B158" s="114"/>
      <c r="C158" s="114"/>
      <c r="D158" s="114"/>
    </row>
    <row r="159" spans="1:18" x14ac:dyDescent="0.15">
      <c r="A159" s="114"/>
      <c r="B159" s="114"/>
      <c r="C159" s="114"/>
      <c r="D159" s="114"/>
    </row>
    <row r="160" spans="1:18" x14ac:dyDescent="0.15">
      <c r="A160" s="114"/>
      <c r="B160" s="114"/>
      <c r="C160" s="114"/>
      <c r="D160" s="114"/>
    </row>
    <row r="161" spans="1:18" x14ac:dyDescent="0.15">
      <c r="A161" s="114"/>
      <c r="B161" s="114"/>
      <c r="C161" s="114"/>
      <c r="D161" s="114"/>
    </row>
    <row r="162" spans="1:18" x14ac:dyDescent="0.15">
      <c r="A162" s="114"/>
      <c r="B162" s="114"/>
      <c r="C162" s="114"/>
      <c r="D162" s="114"/>
    </row>
    <row r="163" spans="1:18" x14ac:dyDescent="0.15">
      <c r="A163" s="114"/>
      <c r="B163" s="114"/>
      <c r="C163" s="114"/>
      <c r="D163" s="114"/>
    </row>
    <row r="164" spans="1:18" x14ac:dyDescent="0.15">
      <c r="A164" s="114"/>
      <c r="B164" s="114"/>
      <c r="C164" s="114"/>
      <c r="D164" s="114"/>
    </row>
    <row r="165" spans="1:18" x14ac:dyDescent="0.15">
      <c r="A165" s="114" t="s">
        <v>368</v>
      </c>
      <c r="B165" s="114"/>
      <c r="C165" s="114"/>
      <c r="D165" s="114"/>
      <c r="Q165" s="1" t="s">
        <v>303</v>
      </c>
    </row>
    <row r="166" spans="1:18" x14ac:dyDescent="0.15">
      <c r="A166" s="115" t="s">
        <v>304</v>
      </c>
      <c r="B166" s="116"/>
      <c r="C166" s="116"/>
      <c r="D166" s="116"/>
      <c r="E166" s="736" t="s">
        <v>305</v>
      </c>
      <c r="F166" s="737"/>
      <c r="G166" s="9" t="s">
        <v>306</v>
      </c>
      <c r="H166" s="9" t="s">
        <v>307</v>
      </c>
      <c r="I166" s="10" t="s">
        <v>308</v>
      </c>
      <c r="J166" s="10"/>
      <c r="K166" s="10"/>
      <c r="L166" s="7" t="s">
        <v>309</v>
      </c>
      <c r="M166" s="10"/>
      <c r="N166" s="10"/>
      <c r="O166" s="11"/>
      <c r="P166" s="10" t="s">
        <v>310</v>
      </c>
      <c r="Q166" s="10"/>
      <c r="R166" s="11"/>
    </row>
    <row r="167" spans="1:18" x14ac:dyDescent="0.15">
      <c r="A167" s="119" t="s">
        <v>369</v>
      </c>
      <c r="B167" s="118"/>
      <c r="C167" s="118"/>
      <c r="D167" s="118"/>
      <c r="E167" s="4"/>
      <c r="F167" s="5"/>
      <c r="G167" s="366" t="s">
        <v>322</v>
      </c>
      <c r="H167" s="366">
        <v>1</v>
      </c>
      <c r="I167" s="5"/>
      <c r="J167" s="5"/>
      <c r="K167" s="5"/>
      <c r="L167" s="700">
        <f>L418</f>
        <v>830238</v>
      </c>
      <c r="M167" s="701"/>
      <c r="N167" s="701"/>
      <c r="O167" s="702"/>
      <c r="P167" s="5" t="s">
        <v>370</v>
      </c>
      <c r="Q167" s="5"/>
      <c r="R167" s="6"/>
    </row>
    <row r="168" spans="1:18" x14ac:dyDescent="0.15">
      <c r="A168" s="119" t="s">
        <v>371</v>
      </c>
      <c r="B168" s="118"/>
      <c r="C168" s="118"/>
      <c r="D168" s="118"/>
      <c r="E168" s="4"/>
      <c r="F168" s="5"/>
      <c r="G168" s="366" t="s">
        <v>322</v>
      </c>
      <c r="H168" s="366">
        <v>1</v>
      </c>
      <c r="I168" s="5"/>
      <c r="J168" s="5"/>
      <c r="K168" s="5"/>
      <c r="L168" s="700">
        <f>L424</f>
        <v>339600</v>
      </c>
      <c r="M168" s="701"/>
      <c r="N168" s="701"/>
      <c r="O168" s="702"/>
      <c r="P168" s="5" t="s">
        <v>372</v>
      </c>
      <c r="Q168" s="5"/>
      <c r="R168" s="6"/>
    </row>
    <row r="169" spans="1:18" x14ac:dyDescent="0.15">
      <c r="A169" s="119" t="s">
        <v>373</v>
      </c>
      <c r="B169" s="118"/>
      <c r="C169" s="118"/>
      <c r="D169" s="118"/>
      <c r="E169" s="4"/>
      <c r="F169" s="5"/>
      <c r="G169" s="366" t="s">
        <v>322</v>
      </c>
      <c r="H169" s="366">
        <v>1</v>
      </c>
      <c r="I169" s="5"/>
      <c r="J169" s="5"/>
      <c r="K169" s="5"/>
      <c r="L169" s="700">
        <f>L609</f>
        <v>640128</v>
      </c>
      <c r="M169" s="701"/>
      <c r="N169" s="701"/>
      <c r="O169" s="702"/>
      <c r="P169" s="5" t="s">
        <v>374</v>
      </c>
      <c r="Q169" s="5"/>
      <c r="R169" s="6"/>
    </row>
    <row r="170" spans="1:18" x14ac:dyDescent="0.15">
      <c r="A170" s="119" t="s">
        <v>338</v>
      </c>
      <c r="B170" s="118"/>
      <c r="C170" s="118"/>
      <c r="D170" s="118"/>
      <c r="E170" s="4"/>
      <c r="F170" s="5"/>
      <c r="G170" s="366" t="s">
        <v>322</v>
      </c>
      <c r="H170" s="366">
        <v>1</v>
      </c>
      <c r="I170" s="5"/>
      <c r="J170" s="5"/>
      <c r="K170" s="5"/>
      <c r="L170" s="700">
        <f>L616</f>
        <v>0</v>
      </c>
      <c r="M170" s="701"/>
      <c r="N170" s="701"/>
      <c r="O170" s="702"/>
      <c r="P170" s="5" t="s">
        <v>375</v>
      </c>
      <c r="Q170" s="5"/>
      <c r="R170" s="6"/>
    </row>
    <row r="171" spans="1:18" x14ac:dyDescent="0.15">
      <c r="A171" s="453" t="s">
        <v>184</v>
      </c>
      <c r="B171" s="454"/>
      <c r="C171" s="454"/>
      <c r="D171" s="455"/>
      <c r="E171" s="4"/>
      <c r="F171" s="5"/>
      <c r="G171" s="8"/>
      <c r="H171" s="8"/>
      <c r="I171" s="5"/>
      <c r="J171" s="5"/>
      <c r="K171" s="5"/>
      <c r="L171" s="700">
        <f>SUM(L167:O170)</f>
        <v>1809966</v>
      </c>
      <c r="M171" s="701"/>
      <c r="N171" s="701"/>
      <c r="O171" s="702"/>
      <c r="P171" s="5"/>
      <c r="Q171" s="5"/>
      <c r="R171" s="6"/>
    </row>
    <row r="172" spans="1:18" x14ac:dyDescent="0.15">
      <c r="A172" s="114"/>
      <c r="B172" s="114"/>
      <c r="C172" s="114"/>
      <c r="D172" s="114"/>
    </row>
    <row r="173" spans="1:18" x14ac:dyDescent="0.15">
      <c r="A173" s="114" t="s">
        <v>376</v>
      </c>
      <c r="B173" s="114"/>
      <c r="C173" s="114"/>
      <c r="D173" s="114"/>
      <c r="Q173" s="1" t="s">
        <v>303</v>
      </c>
    </row>
    <row r="174" spans="1:18" x14ac:dyDescent="0.15">
      <c r="A174" s="115" t="s">
        <v>304</v>
      </c>
      <c r="B174" s="116"/>
      <c r="C174" s="116"/>
      <c r="D174" s="116"/>
      <c r="E174" s="736" t="s">
        <v>305</v>
      </c>
      <c r="F174" s="737"/>
      <c r="G174" s="9" t="s">
        <v>306</v>
      </c>
      <c r="H174" s="9" t="s">
        <v>307</v>
      </c>
      <c r="I174" s="10" t="s">
        <v>308</v>
      </c>
      <c r="J174" s="10"/>
      <c r="K174" s="10"/>
      <c r="L174" s="7" t="s">
        <v>309</v>
      </c>
      <c r="M174" s="10"/>
      <c r="N174" s="10"/>
      <c r="O174" s="11"/>
      <c r="P174" s="10" t="s">
        <v>310</v>
      </c>
      <c r="Q174" s="10"/>
      <c r="R174" s="11"/>
    </row>
    <row r="175" spans="1:18" x14ac:dyDescent="0.15">
      <c r="A175" s="119" t="s">
        <v>326</v>
      </c>
      <c r="B175" s="118"/>
      <c r="C175" s="118"/>
      <c r="D175" s="118"/>
      <c r="E175" s="4"/>
      <c r="F175" s="5"/>
      <c r="G175" s="366" t="s">
        <v>322</v>
      </c>
      <c r="H175" s="366">
        <v>1</v>
      </c>
      <c r="I175" s="5"/>
      <c r="J175" s="5"/>
      <c r="K175" s="5"/>
      <c r="L175" s="700">
        <f>L465</f>
        <v>572150</v>
      </c>
      <c r="M175" s="701"/>
      <c r="N175" s="701"/>
      <c r="O175" s="702"/>
      <c r="P175" s="5" t="s">
        <v>377</v>
      </c>
      <c r="Q175" s="5"/>
      <c r="R175" s="6"/>
    </row>
    <row r="176" spans="1:18" x14ac:dyDescent="0.15">
      <c r="A176" s="119" t="s">
        <v>378</v>
      </c>
      <c r="B176" s="118"/>
      <c r="C176" s="118"/>
      <c r="D176" s="118"/>
      <c r="E176" s="4"/>
      <c r="F176" s="5"/>
      <c r="G176" s="366" t="s">
        <v>379</v>
      </c>
      <c r="H176" s="135">
        <f>バランスシート!I371</f>
        <v>12.456041971048005</v>
      </c>
      <c r="I176" s="700">
        <f>L510</f>
        <v>12553</v>
      </c>
      <c r="J176" s="701"/>
      <c r="K176" s="702"/>
      <c r="L176" s="700">
        <f>H176*I176</f>
        <v>156360.69486256561</v>
      </c>
      <c r="M176" s="701"/>
      <c r="N176" s="701"/>
      <c r="O176" s="702"/>
      <c r="P176" s="5" t="s">
        <v>380</v>
      </c>
      <c r="Q176" s="5"/>
      <c r="R176" s="6"/>
    </row>
    <row r="177" spans="1:18" x14ac:dyDescent="0.15">
      <c r="A177" s="119" t="s">
        <v>381</v>
      </c>
      <c r="B177" s="118"/>
      <c r="C177" s="118"/>
      <c r="D177" s="118"/>
      <c r="E177" s="4"/>
      <c r="F177" s="5"/>
      <c r="G177" s="366" t="s">
        <v>379</v>
      </c>
      <c r="H177" s="135">
        <f>バランスシート!I373</f>
        <v>59.988831788964859</v>
      </c>
      <c r="I177" s="700">
        <f>L521</f>
        <v>4117</v>
      </c>
      <c r="J177" s="701"/>
      <c r="K177" s="702"/>
      <c r="L177" s="700">
        <f>H177*I177</f>
        <v>246974.02047516833</v>
      </c>
      <c r="M177" s="701"/>
      <c r="N177" s="701"/>
      <c r="O177" s="702"/>
      <c r="P177" s="5" t="s">
        <v>382</v>
      </c>
      <c r="Q177" s="5"/>
      <c r="R177" s="6"/>
    </row>
    <row r="178" spans="1:18" x14ac:dyDescent="0.15">
      <c r="A178" s="119" t="s">
        <v>383</v>
      </c>
      <c r="B178" s="118"/>
      <c r="C178" s="118"/>
      <c r="D178" s="118"/>
      <c r="E178" s="4"/>
      <c r="F178" s="5"/>
      <c r="G178" s="366" t="s">
        <v>322</v>
      </c>
      <c r="H178" s="366">
        <v>1</v>
      </c>
      <c r="I178" s="5"/>
      <c r="J178" s="5"/>
      <c r="K178" s="5"/>
      <c r="L178" s="700">
        <f>L533</f>
        <v>113008</v>
      </c>
      <c r="M178" s="701"/>
      <c r="N178" s="701"/>
      <c r="O178" s="702"/>
      <c r="P178" s="5" t="s">
        <v>384</v>
      </c>
      <c r="Q178" s="5"/>
      <c r="R178" s="6"/>
    </row>
    <row r="179" spans="1:18" x14ac:dyDescent="0.15">
      <c r="A179" s="119" t="s">
        <v>373</v>
      </c>
      <c r="B179" s="118"/>
      <c r="C179" s="118"/>
      <c r="D179" s="118"/>
      <c r="E179" s="4"/>
      <c r="F179" s="5"/>
      <c r="G179" s="366" t="s">
        <v>322</v>
      </c>
      <c r="H179" s="366">
        <v>1</v>
      </c>
      <c r="I179" s="5"/>
      <c r="J179" s="5"/>
      <c r="K179" s="5"/>
      <c r="L179" s="700">
        <f>L626</f>
        <v>802332</v>
      </c>
      <c r="M179" s="701"/>
      <c r="N179" s="701"/>
      <c r="O179" s="702"/>
      <c r="P179" s="5" t="s">
        <v>385</v>
      </c>
      <c r="Q179" s="5"/>
      <c r="R179" s="6"/>
    </row>
    <row r="180" spans="1:18" x14ac:dyDescent="0.15">
      <c r="A180" s="119" t="s">
        <v>338</v>
      </c>
      <c r="B180" s="118"/>
      <c r="C180" s="118"/>
      <c r="D180" s="118"/>
      <c r="E180" s="4"/>
      <c r="F180" s="5"/>
      <c r="G180" s="366" t="s">
        <v>322</v>
      </c>
      <c r="H180" s="366">
        <v>1</v>
      </c>
      <c r="I180" s="5"/>
      <c r="J180" s="5"/>
      <c r="K180" s="5"/>
      <c r="L180" s="700">
        <f>L635</f>
        <v>0</v>
      </c>
      <c r="M180" s="701"/>
      <c r="N180" s="701"/>
      <c r="O180" s="702"/>
      <c r="P180" s="5" t="s">
        <v>386</v>
      </c>
      <c r="Q180" s="5"/>
      <c r="R180" s="6"/>
    </row>
    <row r="181" spans="1:18" x14ac:dyDescent="0.15">
      <c r="A181" s="453" t="s">
        <v>184</v>
      </c>
      <c r="B181" s="454"/>
      <c r="C181" s="454"/>
      <c r="D181" s="455"/>
      <c r="E181" s="4"/>
      <c r="F181" s="5"/>
      <c r="G181" s="8"/>
      <c r="H181" s="8"/>
      <c r="I181" s="5"/>
      <c r="J181" s="5"/>
      <c r="K181" s="5"/>
      <c r="L181" s="700">
        <f>SUM(L175:O180)</f>
        <v>1890824.715337734</v>
      </c>
      <c r="M181" s="701"/>
      <c r="N181" s="701"/>
      <c r="O181" s="702"/>
      <c r="P181" s="5"/>
      <c r="Q181" s="5"/>
      <c r="R181" s="6"/>
    </row>
    <row r="182" spans="1:18" x14ac:dyDescent="0.15">
      <c r="A182" s="114"/>
      <c r="B182" s="114"/>
      <c r="C182" s="114"/>
      <c r="D182" s="114"/>
    </row>
    <row r="183" spans="1:18" x14ac:dyDescent="0.15">
      <c r="A183" s="114" t="s">
        <v>387</v>
      </c>
      <c r="B183" s="114"/>
      <c r="C183" s="114"/>
      <c r="D183" s="114"/>
      <c r="Q183" s="1" t="s">
        <v>303</v>
      </c>
    </row>
    <row r="184" spans="1:18" x14ac:dyDescent="0.15">
      <c r="A184" s="115" t="s">
        <v>304</v>
      </c>
      <c r="B184" s="116"/>
      <c r="C184" s="116"/>
      <c r="D184" s="116"/>
      <c r="E184" s="736" t="s">
        <v>305</v>
      </c>
      <c r="F184" s="737"/>
      <c r="G184" s="9" t="s">
        <v>306</v>
      </c>
      <c r="H184" s="9" t="s">
        <v>307</v>
      </c>
      <c r="I184" s="10" t="s">
        <v>308</v>
      </c>
      <c r="J184" s="10"/>
      <c r="K184" s="10"/>
      <c r="L184" s="7" t="s">
        <v>309</v>
      </c>
      <c r="M184" s="10"/>
      <c r="N184" s="10"/>
      <c r="O184" s="11"/>
      <c r="P184" s="10" t="s">
        <v>310</v>
      </c>
      <c r="Q184" s="10"/>
      <c r="R184" s="11"/>
    </row>
    <row r="185" spans="1:18" x14ac:dyDescent="0.15">
      <c r="A185" s="119" t="s">
        <v>388</v>
      </c>
      <c r="B185" s="118"/>
      <c r="C185" s="118"/>
      <c r="D185" s="118"/>
      <c r="E185" s="4"/>
      <c r="F185" s="5"/>
      <c r="G185" s="366" t="s">
        <v>322</v>
      </c>
      <c r="H185" s="366">
        <v>1</v>
      </c>
      <c r="I185" s="5"/>
      <c r="J185" s="5"/>
      <c r="K185" s="5"/>
      <c r="L185" s="700"/>
      <c r="M185" s="701"/>
      <c r="N185" s="701"/>
      <c r="O185" s="702"/>
      <c r="P185" s="5" t="s">
        <v>320</v>
      </c>
      <c r="Q185" s="5"/>
      <c r="R185" s="6"/>
    </row>
    <row r="186" spans="1:18" x14ac:dyDescent="0.15">
      <c r="A186" s="119" t="s">
        <v>389</v>
      </c>
      <c r="B186" s="118"/>
      <c r="C186" s="118"/>
      <c r="D186" s="118"/>
      <c r="E186" s="4"/>
      <c r="F186" s="5"/>
      <c r="G186" s="366" t="s">
        <v>322</v>
      </c>
      <c r="H186" s="366">
        <v>1</v>
      </c>
      <c r="I186" s="700">
        <f>L543*条件入力!N19</f>
        <v>145557</v>
      </c>
      <c r="J186" s="701"/>
      <c r="K186" s="702"/>
      <c r="L186" s="700">
        <f>H186*I186</f>
        <v>145557</v>
      </c>
      <c r="M186" s="701"/>
      <c r="N186" s="701"/>
      <c r="O186" s="702"/>
      <c r="P186" s="12" t="s">
        <v>390</v>
      </c>
      <c r="Q186" s="5"/>
      <c r="R186" s="6"/>
    </row>
    <row r="187" spans="1:18" x14ac:dyDescent="0.15">
      <c r="A187" s="453" t="s">
        <v>184</v>
      </c>
      <c r="B187" s="454"/>
      <c r="C187" s="454"/>
      <c r="D187" s="455"/>
      <c r="E187" s="4"/>
      <c r="F187" s="5"/>
      <c r="G187" s="8"/>
      <c r="H187" s="8"/>
      <c r="I187" s="5"/>
      <c r="J187" s="5"/>
      <c r="K187" s="5"/>
      <c r="L187" s="700">
        <f>SUM(L185:O186)</f>
        <v>145557</v>
      </c>
      <c r="M187" s="701"/>
      <c r="N187" s="701"/>
      <c r="O187" s="702"/>
      <c r="P187" s="5"/>
      <c r="Q187" s="5"/>
      <c r="R187" s="6"/>
    </row>
    <row r="188" spans="1:18" x14ac:dyDescent="0.15">
      <c r="A188" s="114"/>
      <c r="B188" s="114"/>
      <c r="C188" s="114"/>
      <c r="D188" s="114"/>
    </row>
    <row r="189" spans="1:18" x14ac:dyDescent="0.15">
      <c r="A189" s="114" t="s">
        <v>391</v>
      </c>
      <c r="B189" s="114"/>
      <c r="C189" s="114"/>
      <c r="D189" s="114"/>
      <c r="Q189" s="1" t="s">
        <v>303</v>
      </c>
    </row>
    <row r="190" spans="1:18" x14ac:dyDescent="0.15">
      <c r="A190" s="115" t="s">
        <v>304</v>
      </c>
      <c r="B190" s="116"/>
      <c r="C190" s="116"/>
      <c r="D190" s="116"/>
      <c r="E190" s="736" t="s">
        <v>305</v>
      </c>
      <c r="F190" s="737"/>
      <c r="G190" s="9" t="s">
        <v>306</v>
      </c>
      <c r="H190" s="9" t="s">
        <v>307</v>
      </c>
      <c r="I190" s="10" t="s">
        <v>308</v>
      </c>
      <c r="J190" s="10"/>
      <c r="K190" s="10"/>
      <c r="L190" s="7" t="s">
        <v>309</v>
      </c>
      <c r="M190" s="10"/>
      <c r="N190" s="10"/>
      <c r="O190" s="11"/>
      <c r="P190" s="10" t="s">
        <v>310</v>
      </c>
      <c r="Q190" s="10"/>
      <c r="R190" s="11"/>
    </row>
    <row r="191" spans="1:18" ht="11.25" customHeight="1" x14ac:dyDescent="0.15">
      <c r="A191" s="119" t="s">
        <v>392</v>
      </c>
      <c r="B191" s="118"/>
      <c r="C191" s="118"/>
      <c r="D191" s="118"/>
      <c r="E191" s="4"/>
      <c r="F191" s="5"/>
      <c r="G191" s="366" t="s">
        <v>344</v>
      </c>
      <c r="H191" s="107">
        <f>条件入力!T21</f>
        <v>1</v>
      </c>
      <c r="I191" s="700">
        <f>L553</f>
        <v>46364</v>
      </c>
      <c r="J191" s="701"/>
      <c r="K191" s="702"/>
      <c r="L191" s="700">
        <f>H191*I191</f>
        <v>46364</v>
      </c>
      <c r="M191" s="701"/>
      <c r="N191" s="701"/>
      <c r="O191" s="702"/>
      <c r="P191" s="5" t="s">
        <v>393</v>
      </c>
      <c r="Q191" s="5"/>
      <c r="R191" s="6"/>
    </row>
    <row r="192" spans="1:18" x14ac:dyDescent="0.15">
      <c r="A192" s="453" t="s">
        <v>184</v>
      </c>
      <c r="B192" s="454"/>
      <c r="C192" s="454"/>
      <c r="D192" s="455"/>
      <c r="E192" s="4"/>
      <c r="F192" s="5"/>
      <c r="G192" s="8"/>
      <c r="H192" s="8"/>
      <c r="I192" s="5"/>
      <c r="J192" s="5"/>
      <c r="K192" s="5"/>
      <c r="L192" s="700">
        <f>SUM(L191)</f>
        <v>46364</v>
      </c>
      <c r="M192" s="701"/>
      <c r="N192" s="701"/>
      <c r="O192" s="702"/>
      <c r="P192" s="5"/>
      <c r="Q192" s="5"/>
      <c r="R192" s="6"/>
    </row>
    <row r="193" spans="1:4" x14ac:dyDescent="0.15">
      <c r="A193" s="114"/>
      <c r="B193" s="114"/>
      <c r="C193" s="114"/>
      <c r="D193" s="114"/>
    </row>
    <row r="194" spans="1:4" x14ac:dyDescent="0.15">
      <c r="A194" s="114"/>
      <c r="B194" s="114"/>
      <c r="C194" s="114"/>
      <c r="D194" s="114"/>
    </row>
    <row r="195" spans="1:4" x14ac:dyDescent="0.15">
      <c r="A195" s="114"/>
      <c r="B195" s="114"/>
      <c r="C195" s="114"/>
      <c r="D195" s="114"/>
    </row>
    <row r="196" spans="1:4" x14ac:dyDescent="0.15">
      <c r="A196" s="114"/>
      <c r="B196" s="114"/>
      <c r="C196" s="114"/>
      <c r="D196" s="114"/>
    </row>
    <row r="197" spans="1:4" x14ac:dyDescent="0.15">
      <c r="A197" s="114"/>
      <c r="B197" s="114"/>
      <c r="C197" s="114"/>
      <c r="D197" s="114"/>
    </row>
    <row r="198" spans="1:4" x14ac:dyDescent="0.15">
      <c r="A198" s="114"/>
      <c r="B198" s="114"/>
      <c r="C198" s="114"/>
      <c r="D198" s="114"/>
    </row>
    <row r="199" spans="1:4" x14ac:dyDescent="0.15">
      <c r="A199" s="114"/>
      <c r="B199" s="114"/>
      <c r="C199" s="114"/>
      <c r="D199" s="114"/>
    </row>
    <row r="200" spans="1:4" x14ac:dyDescent="0.15">
      <c r="A200" s="114"/>
      <c r="B200" s="114"/>
      <c r="C200" s="114"/>
      <c r="D200" s="114"/>
    </row>
    <row r="201" spans="1:4" x14ac:dyDescent="0.15">
      <c r="A201" s="114"/>
      <c r="B201" s="114"/>
      <c r="C201" s="114"/>
      <c r="D201" s="114"/>
    </row>
    <row r="202" spans="1:4" x14ac:dyDescent="0.15">
      <c r="A202" s="114"/>
      <c r="B202" s="114"/>
      <c r="C202" s="114"/>
      <c r="D202" s="114"/>
    </row>
    <row r="203" spans="1:4" x14ac:dyDescent="0.15">
      <c r="A203" s="114"/>
      <c r="B203" s="114"/>
      <c r="C203" s="114"/>
      <c r="D203" s="114"/>
    </row>
    <row r="204" spans="1:4" x14ac:dyDescent="0.15">
      <c r="A204" s="114"/>
      <c r="B204" s="114"/>
      <c r="C204" s="114"/>
      <c r="D204" s="114"/>
    </row>
    <row r="205" spans="1:4" x14ac:dyDescent="0.15">
      <c r="A205" s="114"/>
      <c r="B205" s="114"/>
      <c r="C205" s="114"/>
      <c r="D205" s="114"/>
    </row>
    <row r="206" spans="1:4" x14ac:dyDescent="0.15">
      <c r="A206" s="114"/>
      <c r="B206" s="114"/>
      <c r="C206" s="114"/>
      <c r="D206" s="114"/>
    </row>
    <row r="207" spans="1:4" x14ac:dyDescent="0.15">
      <c r="A207" s="114"/>
      <c r="B207" s="114"/>
      <c r="C207" s="114"/>
      <c r="D207" s="114"/>
    </row>
    <row r="208" spans="1:4" x14ac:dyDescent="0.15">
      <c r="A208" s="114"/>
      <c r="B208" s="114"/>
      <c r="C208" s="114"/>
      <c r="D208" s="114"/>
    </row>
    <row r="209" spans="1:18" x14ac:dyDescent="0.15">
      <c r="A209" s="114"/>
      <c r="B209" s="114"/>
      <c r="C209" s="114"/>
      <c r="D209" s="114"/>
    </row>
    <row r="210" spans="1:18" x14ac:dyDescent="0.15">
      <c r="A210" s="114"/>
      <c r="B210" s="114"/>
      <c r="C210" s="114"/>
      <c r="D210" s="114"/>
    </row>
    <row r="211" spans="1:18" x14ac:dyDescent="0.15">
      <c r="A211" s="114"/>
      <c r="B211" s="114"/>
      <c r="C211" s="114"/>
      <c r="D211" s="114"/>
    </row>
    <row r="212" spans="1:18" x14ac:dyDescent="0.15">
      <c r="A212" s="114"/>
      <c r="B212" s="114"/>
      <c r="C212" s="114"/>
      <c r="D212" s="114"/>
    </row>
    <row r="213" spans="1:18" x14ac:dyDescent="0.15">
      <c r="A213" s="114"/>
      <c r="B213" s="114"/>
      <c r="C213" s="114"/>
      <c r="D213" s="114"/>
    </row>
    <row r="214" spans="1:18" x14ac:dyDescent="0.15">
      <c r="A214" s="114"/>
      <c r="B214" s="114"/>
      <c r="C214" s="114"/>
      <c r="D214" s="114"/>
    </row>
    <row r="215" spans="1:18" x14ac:dyDescent="0.15">
      <c r="A215" s="114"/>
      <c r="B215" s="114"/>
      <c r="C215" s="114"/>
      <c r="D215" s="114"/>
    </row>
    <row r="216" spans="1:18" x14ac:dyDescent="0.15">
      <c r="A216" s="114"/>
      <c r="B216" s="114"/>
      <c r="C216" s="114"/>
      <c r="D216" s="114"/>
    </row>
    <row r="217" spans="1:18" x14ac:dyDescent="0.15">
      <c r="A217" s="114"/>
      <c r="B217" s="114"/>
      <c r="C217" s="114"/>
      <c r="D217" s="114"/>
    </row>
    <row r="218" spans="1:18" x14ac:dyDescent="0.15">
      <c r="A218" s="114"/>
      <c r="B218" s="114"/>
      <c r="C218" s="114"/>
      <c r="D218" s="114"/>
    </row>
    <row r="219" spans="1:18" x14ac:dyDescent="0.15">
      <c r="A219" s="114"/>
      <c r="B219" s="114"/>
      <c r="C219" s="114"/>
      <c r="D219" s="114"/>
    </row>
    <row r="220" spans="1:18" x14ac:dyDescent="0.15">
      <c r="A220" s="114"/>
      <c r="B220" s="114"/>
      <c r="C220" s="114"/>
      <c r="D220" s="114"/>
    </row>
    <row r="221" spans="1:18" x14ac:dyDescent="0.15">
      <c r="A221" s="114" t="s">
        <v>394</v>
      </c>
      <c r="B221" s="114"/>
      <c r="C221" s="114"/>
      <c r="D221" s="114"/>
      <c r="Q221" s="1" t="s">
        <v>395</v>
      </c>
    </row>
    <row r="222" spans="1:18" x14ac:dyDescent="0.15">
      <c r="A222" s="115" t="s">
        <v>304</v>
      </c>
      <c r="B222" s="116"/>
      <c r="C222" s="116"/>
      <c r="D222" s="116"/>
      <c r="E222" s="736" t="s">
        <v>305</v>
      </c>
      <c r="F222" s="737"/>
      <c r="G222" s="9" t="s">
        <v>306</v>
      </c>
      <c r="H222" s="9" t="s">
        <v>307</v>
      </c>
      <c r="I222" s="10" t="s">
        <v>308</v>
      </c>
      <c r="J222" s="10"/>
      <c r="K222" s="10"/>
      <c r="L222" s="7" t="s">
        <v>309</v>
      </c>
      <c r="M222" s="10"/>
      <c r="N222" s="10"/>
      <c r="O222" s="11"/>
      <c r="P222" s="10" t="s">
        <v>310</v>
      </c>
      <c r="Q222" s="10"/>
      <c r="R222" s="11"/>
    </row>
    <row r="223" spans="1:18" x14ac:dyDescent="0.15">
      <c r="A223" s="119" t="s">
        <v>396</v>
      </c>
      <c r="B223" s="118"/>
      <c r="C223" s="118"/>
      <c r="D223" s="118"/>
      <c r="E223" s="4"/>
      <c r="F223" s="5"/>
      <c r="G223" s="366" t="s">
        <v>397</v>
      </c>
      <c r="H223" s="366">
        <f>内緒!I31*条件入力!L25</f>
        <v>364.28571428571428</v>
      </c>
      <c r="I223" s="700">
        <f>L238</f>
        <v>33</v>
      </c>
      <c r="J223" s="704"/>
      <c r="K223" s="705"/>
      <c r="L223" s="700">
        <f t="shared" ref="L223:L228" si="1">H223*I223</f>
        <v>12021.428571428571</v>
      </c>
      <c r="M223" s="701"/>
      <c r="N223" s="701"/>
      <c r="O223" s="702"/>
      <c r="P223" s="5" t="s">
        <v>398</v>
      </c>
      <c r="Q223" s="5"/>
      <c r="R223" s="6"/>
    </row>
    <row r="224" spans="1:18" x14ac:dyDescent="0.15">
      <c r="A224" s="119" t="s">
        <v>399</v>
      </c>
      <c r="B224" s="118"/>
      <c r="C224" s="118"/>
      <c r="D224" s="118"/>
      <c r="E224" s="4"/>
      <c r="F224" s="5"/>
      <c r="G224" s="366" t="s">
        <v>400</v>
      </c>
      <c r="H224" s="366">
        <v>1</v>
      </c>
      <c r="I224" s="700">
        <f>労務単価!O51</f>
        <v>27800</v>
      </c>
      <c r="J224" s="701"/>
      <c r="K224" s="702"/>
      <c r="L224" s="700">
        <f t="shared" si="1"/>
        <v>27800</v>
      </c>
      <c r="M224" s="701"/>
      <c r="N224" s="701"/>
      <c r="O224" s="702"/>
      <c r="P224" s="5"/>
      <c r="Q224" s="5"/>
      <c r="R224" s="6"/>
    </row>
    <row r="225" spans="1:18" x14ac:dyDescent="0.15">
      <c r="A225" s="119" t="s">
        <v>4</v>
      </c>
      <c r="B225" s="118"/>
      <c r="C225" s="118"/>
      <c r="D225" s="118"/>
      <c r="E225" s="4"/>
      <c r="F225" s="5"/>
      <c r="G225" s="366" t="s">
        <v>400</v>
      </c>
      <c r="H225" s="366">
        <v>3</v>
      </c>
      <c r="I225" s="700">
        <f>労務単価!D51</f>
        <v>25300</v>
      </c>
      <c r="J225" s="701"/>
      <c r="K225" s="702"/>
      <c r="L225" s="700">
        <f t="shared" si="1"/>
        <v>75900</v>
      </c>
      <c r="M225" s="701"/>
      <c r="N225" s="701"/>
      <c r="O225" s="702"/>
      <c r="P225" s="5"/>
      <c r="Q225" s="5"/>
      <c r="R225" s="6"/>
    </row>
    <row r="226" spans="1:18" x14ac:dyDescent="0.15">
      <c r="A226" s="119" t="s">
        <v>5</v>
      </c>
      <c r="B226" s="118"/>
      <c r="C226" s="118"/>
      <c r="D226" s="118"/>
      <c r="E226" s="4"/>
      <c r="F226" s="5"/>
      <c r="G226" s="366" t="s">
        <v>400</v>
      </c>
      <c r="H226" s="366">
        <v>2</v>
      </c>
      <c r="I226" s="700">
        <f>労務単価!E51</f>
        <v>20900</v>
      </c>
      <c r="J226" s="701"/>
      <c r="K226" s="702"/>
      <c r="L226" s="700">
        <f t="shared" si="1"/>
        <v>41800</v>
      </c>
      <c r="M226" s="701"/>
      <c r="N226" s="701"/>
      <c r="O226" s="702"/>
      <c r="P226" s="5"/>
      <c r="Q226" s="5"/>
      <c r="R226" s="6"/>
    </row>
    <row r="227" spans="1:18" x14ac:dyDescent="0.15">
      <c r="A227" s="119" t="s">
        <v>6</v>
      </c>
      <c r="B227" s="118"/>
      <c r="C227" s="118"/>
      <c r="D227" s="118"/>
      <c r="E227" s="4"/>
      <c r="F227" s="5"/>
      <c r="G227" s="366" t="s">
        <v>400</v>
      </c>
      <c r="H227" s="366">
        <v>1</v>
      </c>
      <c r="I227" s="700">
        <f>労務単価!F51</f>
        <v>28600</v>
      </c>
      <c r="J227" s="701"/>
      <c r="K227" s="702"/>
      <c r="L227" s="700">
        <f t="shared" si="1"/>
        <v>28600</v>
      </c>
      <c r="M227" s="701"/>
      <c r="N227" s="701"/>
      <c r="O227" s="702"/>
      <c r="P227" s="5"/>
      <c r="Q227" s="5"/>
      <c r="R227" s="6"/>
    </row>
    <row r="228" spans="1:18" x14ac:dyDescent="0.15">
      <c r="A228" s="119" t="s">
        <v>401</v>
      </c>
      <c r="B228" s="118"/>
      <c r="C228" s="118"/>
      <c r="D228" s="118"/>
      <c r="E228" s="4" t="s">
        <v>402</v>
      </c>
      <c r="F228" s="5"/>
      <c r="G228" s="366" t="s">
        <v>195</v>
      </c>
      <c r="H228" s="366">
        <v>1</v>
      </c>
      <c r="I228" s="700">
        <f>機械単価!D70</f>
        <v>37000</v>
      </c>
      <c r="J228" s="701"/>
      <c r="K228" s="702"/>
      <c r="L228" s="700">
        <f t="shared" si="1"/>
        <v>37000</v>
      </c>
      <c r="M228" s="701"/>
      <c r="N228" s="701"/>
      <c r="O228" s="702"/>
      <c r="P228" s="5"/>
      <c r="Q228" s="5"/>
      <c r="R228" s="6"/>
    </row>
    <row r="229" spans="1:18" x14ac:dyDescent="0.15">
      <c r="A229" s="119" t="s">
        <v>403</v>
      </c>
      <c r="B229" s="118"/>
      <c r="C229" s="118"/>
      <c r="D229" s="118"/>
      <c r="E229" s="4"/>
      <c r="F229" s="5"/>
      <c r="G229" s="366" t="s">
        <v>322</v>
      </c>
      <c r="H229" s="366">
        <v>1</v>
      </c>
      <c r="I229" s="5"/>
      <c r="J229" s="5"/>
      <c r="K229" s="5"/>
      <c r="L229" s="700">
        <f>ROUND((L224+L225+L226+L227)*0.04,0)</f>
        <v>6964</v>
      </c>
      <c r="M229" s="701"/>
      <c r="N229" s="701"/>
      <c r="O229" s="702"/>
      <c r="P229" s="5" t="s">
        <v>404</v>
      </c>
      <c r="Q229" s="5"/>
      <c r="R229" s="6"/>
    </row>
    <row r="230" spans="1:18" x14ac:dyDescent="0.15">
      <c r="A230" s="119" t="s">
        <v>184</v>
      </c>
      <c r="B230" s="118"/>
      <c r="C230" s="118"/>
      <c r="D230" s="118"/>
      <c r="E230" s="4"/>
      <c r="F230" s="5"/>
      <c r="G230" s="8"/>
      <c r="H230" s="8"/>
      <c r="I230" s="5"/>
      <c r="J230" s="5"/>
      <c r="K230" s="5"/>
      <c r="L230" s="700">
        <f>SUM(L223:O229)</f>
        <v>230085.42857142858</v>
      </c>
      <c r="M230" s="701"/>
      <c r="N230" s="701"/>
      <c r="O230" s="702"/>
      <c r="P230" s="5" t="s">
        <v>405</v>
      </c>
      <c r="Q230" s="5"/>
      <c r="R230" s="6"/>
    </row>
    <row r="231" spans="1:18" x14ac:dyDescent="0.15">
      <c r="A231" s="119" t="s">
        <v>406</v>
      </c>
      <c r="B231" s="118"/>
      <c r="C231" s="118"/>
      <c r="D231" s="118"/>
      <c r="E231" s="4"/>
      <c r="F231" s="5"/>
      <c r="G231" s="8"/>
      <c r="H231" s="8"/>
      <c r="I231" s="5"/>
      <c r="J231" s="5"/>
      <c r="K231" s="5"/>
      <c r="L231" s="700">
        <f>ROUND(L230/条件入力!L25,0)</f>
        <v>32212</v>
      </c>
      <c r="M231" s="701"/>
      <c r="N231" s="701"/>
      <c r="O231" s="702"/>
      <c r="P231" s="5" t="s">
        <v>407</v>
      </c>
      <c r="Q231" s="5"/>
      <c r="R231" s="6"/>
    </row>
    <row r="232" spans="1:18" x14ac:dyDescent="0.15">
      <c r="A232" s="114"/>
      <c r="B232" s="114"/>
      <c r="C232" s="114"/>
      <c r="D232" s="114"/>
    </row>
    <row r="233" spans="1:18" x14ac:dyDescent="0.15">
      <c r="A233" s="114" t="s">
        <v>408</v>
      </c>
      <c r="B233" s="114"/>
      <c r="C233" s="114"/>
      <c r="D233" s="114"/>
      <c r="Q233" s="1" t="s">
        <v>409</v>
      </c>
    </row>
    <row r="234" spans="1:18" x14ac:dyDescent="0.15">
      <c r="A234" s="115" t="s">
        <v>304</v>
      </c>
      <c r="B234" s="116"/>
      <c r="C234" s="116"/>
      <c r="D234" s="116"/>
      <c r="E234" s="736" t="s">
        <v>305</v>
      </c>
      <c r="F234" s="737"/>
      <c r="G234" s="9" t="s">
        <v>306</v>
      </c>
      <c r="H234" s="9" t="s">
        <v>307</v>
      </c>
      <c r="I234" s="10" t="s">
        <v>308</v>
      </c>
      <c r="J234" s="10"/>
      <c r="K234" s="10"/>
      <c r="L234" s="7" t="s">
        <v>309</v>
      </c>
      <c r="M234" s="10"/>
      <c r="N234" s="10"/>
      <c r="O234" s="11"/>
      <c r="P234" s="10" t="s">
        <v>310</v>
      </c>
      <c r="Q234" s="10"/>
      <c r="R234" s="11"/>
    </row>
    <row r="235" spans="1:18" x14ac:dyDescent="0.15">
      <c r="A235" s="119" t="s">
        <v>410</v>
      </c>
      <c r="B235" s="118"/>
      <c r="C235" s="118"/>
      <c r="D235" s="118"/>
      <c r="E235" s="4"/>
      <c r="F235" s="5"/>
      <c r="G235" s="366" t="s">
        <v>411</v>
      </c>
      <c r="H235" s="366">
        <v>5</v>
      </c>
      <c r="I235" s="700">
        <v>6600</v>
      </c>
      <c r="J235" s="701"/>
      <c r="K235" s="702"/>
      <c r="L235" s="700">
        <f>H235*I235</f>
        <v>33000</v>
      </c>
      <c r="M235" s="701"/>
      <c r="N235" s="701"/>
      <c r="O235" s="702"/>
      <c r="P235" s="5"/>
      <c r="Q235" s="5"/>
      <c r="R235" s="6"/>
    </row>
    <row r="236" spans="1:18" x14ac:dyDescent="0.15">
      <c r="A236" s="119" t="s">
        <v>412</v>
      </c>
      <c r="B236" s="118"/>
      <c r="C236" s="118"/>
      <c r="D236" s="118"/>
      <c r="E236" s="4"/>
      <c r="F236" s="5"/>
      <c r="G236" s="366" t="s">
        <v>413</v>
      </c>
      <c r="H236" s="13">
        <v>0.995</v>
      </c>
      <c r="I236" s="700">
        <f>機械単価!F84</f>
        <v>200</v>
      </c>
      <c r="J236" s="701"/>
      <c r="K236" s="702"/>
      <c r="L236" s="700">
        <f>ROUND(H236*I236,0)</f>
        <v>199</v>
      </c>
      <c r="M236" s="701"/>
      <c r="N236" s="701"/>
      <c r="O236" s="702"/>
      <c r="P236" s="5"/>
      <c r="Q236" s="5"/>
      <c r="R236" s="6"/>
    </row>
    <row r="237" spans="1:18" ht="14.25" x14ac:dyDescent="0.15">
      <c r="A237" s="119" t="s">
        <v>184</v>
      </c>
      <c r="B237" s="118"/>
      <c r="C237" s="118"/>
      <c r="D237" s="118"/>
      <c r="E237" s="4"/>
      <c r="F237" s="5"/>
      <c r="G237" s="366" t="s">
        <v>414</v>
      </c>
      <c r="H237" s="366">
        <v>1</v>
      </c>
      <c r="I237" s="5"/>
      <c r="J237" s="5"/>
      <c r="K237" s="5"/>
      <c r="L237" s="700">
        <f>SUM(L235:O236)</f>
        <v>33199</v>
      </c>
      <c r="M237" s="701"/>
      <c r="N237" s="701"/>
      <c r="O237" s="702"/>
      <c r="P237" s="5"/>
      <c r="Q237" s="5"/>
      <c r="R237" s="6"/>
    </row>
    <row r="238" spans="1:18" x14ac:dyDescent="0.15">
      <c r="A238" s="119" t="s">
        <v>415</v>
      </c>
      <c r="B238" s="118"/>
      <c r="C238" s="118"/>
      <c r="D238" s="118"/>
      <c r="E238" s="4"/>
      <c r="F238" s="5"/>
      <c r="G238" s="8"/>
      <c r="H238" s="8"/>
      <c r="I238" s="5"/>
      <c r="J238" s="5"/>
      <c r="K238" s="5"/>
      <c r="L238" s="700">
        <f>ROUND(L237/1000,0)</f>
        <v>33</v>
      </c>
      <c r="M238" s="701"/>
      <c r="N238" s="701"/>
      <c r="O238" s="702"/>
      <c r="P238" s="5" t="s">
        <v>416</v>
      </c>
      <c r="Q238" s="5"/>
      <c r="R238" s="6"/>
    </row>
    <row r="239" spans="1:18" x14ac:dyDescent="0.15">
      <c r="A239" s="114"/>
      <c r="B239" s="114"/>
      <c r="C239" s="114"/>
      <c r="D239" s="114"/>
    </row>
    <row r="240" spans="1:18" x14ac:dyDescent="0.15">
      <c r="A240" s="114"/>
      <c r="B240" s="114"/>
      <c r="C240" s="114"/>
      <c r="D240" s="114"/>
    </row>
    <row r="241" spans="1:18" x14ac:dyDescent="0.15">
      <c r="A241" s="114" t="s">
        <v>417</v>
      </c>
      <c r="B241" s="114"/>
      <c r="C241" s="114"/>
      <c r="D241" s="114"/>
      <c r="Q241" s="14" t="s">
        <v>418</v>
      </c>
    </row>
    <row r="242" spans="1:18" x14ac:dyDescent="0.15">
      <c r="A242" s="115" t="s">
        <v>304</v>
      </c>
      <c r="B242" s="116"/>
      <c r="C242" s="116"/>
      <c r="D242" s="116"/>
      <c r="E242" s="736" t="s">
        <v>305</v>
      </c>
      <c r="F242" s="737"/>
      <c r="G242" s="9" t="s">
        <v>306</v>
      </c>
      <c r="H242" s="9" t="s">
        <v>307</v>
      </c>
      <c r="I242" s="10" t="s">
        <v>308</v>
      </c>
      <c r="J242" s="10"/>
      <c r="K242" s="10"/>
      <c r="L242" s="7" t="s">
        <v>309</v>
      </c>
      <c r="M242" s="10"/>
      <c r="N242" s="10"/>
      <c r="O242" s="11"/>
      <c r="P242" s="10" t="s">
        <v>310</v>
      </c>
      <c r="Q242" s="10"/>
      <c r="R242" s="11"/>
    </row>
    <row r="243" spans="1:18" x14ac:dyDescent="0.15">
      <c r="A243" s="119" t="s">
        <v>419</v>
      </c>
      <c r="B243" s="118"/>
      <c r="C243" s="118"/>
      <c r="D243" s="118"/>
      <c r="E243" s="4"/>
      <c r="F243" s="5"/>
      <c r="G243" s="366" t="s">
        <v>420</v>
      </c>
      <c r="H243" s="366">
        <v>1</v>
      </c>
      <c r="I243" s="700">
        <f>IF(条件入力!D8=250,66000,IF(条件入力!D8=300,73000,IF(条件入力!D8=350,80000,IF(条件入力!D8=400,89000,IF(条件入力!D8=450,96000,102000)))))</f>
        <v>89000</v>
      </c>
      <c r="J243" s="701"/>
      <c r="K243" s="702"/>
      <c r="L243" s="700">
        <f>ROUND(H243*I243,0)</f>
        <v>89000</v>
      </c>
      <c r="M243" s="701"/>
      <c r="N243" s="701"/>
      <c r="O243" s="702"/>
      <c r="P243" s="5"/>
      <c r="Q243" s="5"/>
      <c r="R243" s="6"/>
    </row>
    <row r="244" spans="1:18" x14ac:dyDescent="0.15">
      <c r="A244" s="119" t="s">
        <v>421</v>
      </c>
      <c r="B244" s="118"/>
      <c r="C244" s="118"/>
      <c r="D244" s="118"/>
      <c r="E244" s="4"/>
      <c r="F244" s="5"/>
      <c r="G244" s="366" t="s">
        <v>137</v>
      </c>
      <c r="H244" s="366">
        <f>IF(条件入力!D8=250,2.4,IF(条件入力!D8=300,2.7,IF(条件入力!D8=350,2.9,IF(条件入力!D8=400,3.2,IF(条件入力!D8=450,3.5,IF(条件入力!D8=500,3.7,IF(条件入力!D8=600,4,4.6)))))))</f>
        <v>3.2</v>
      </c>
      <c r="I244" s="700">
        <f>L268</f>
        <v>3358</v>
      </c>
      <c r="J244" s="701"/>
      <c r="K244" s="702"/>
      <c r="L244" s="700">
        <f>ROUND(H244*I244,0)</f>
        <v>10746</v>
      </c>
      <c r="M244" s="701"/>
      <c r="N244" s="701"/>
      <c r="O244" s="702"/>
      <c r="P244" s="5" t="s">
        <v>422</v>
      </c>
      <c r="Q244" s="5"/>
      <c r="R244" s="6"/>
    </row>
    <row r="245" spans="1:18" x14ac:dyDescent="0.15">
      <c r="A245" s="119" t="s">
        <v>423</v>
      </c>
      <c r="B245" s="118"/>
      <c r="C245" s="118"/>
      <c r="D245" s="118"/>
      <c r="E245" s="4"/>
      <c r="F245" s="5"/>
      <c r="G245" s="366" t="s">
        <v>137</v>
      </c>
      <c r="H245" s="366">
        <f>IF(条件入力!D8=250,4.8,IF(条件入力!D8=300,5.4,IF(条件入力!D8=350,5.8,IF(条件入力!D8=400,6.4,IF(条件入力!D8=450,7,IF(条件入力!D8=500,7.4,IF(条件入力!D8=600,8,9.2)))))))</f>
        <v>6.4</v>
      </c>
      <c r="I245" s="700">
        <f>L277</f>
        <v>2348</v>
      </c>
      <c r="J245" s="701"/>
      <c r="K245" s="702"/>
      <c r="L245" s="700">
        <f>ROUND(H245*I245,0)</f>
        <v>15027</v>
      </c>
      <c r="M245" s="701"/>
      <c r="N245" s="701"/>
      <c r="O245" s="702"/>
      <c r="P245" s="5" t="s">
        <v>424</v>
      </c>
      <c r="Q245" s="5"/>
      <c r="R245" s="6"/>
    </row>
    <row r="246" spans="1:18" x14ac:dyDescent="0.15">
      <c r="A246" s="119" t="s">
        <v>5</v>
      </c>
      <c r="B246" s="118"/>
      <c r="C246" s="118"/>
      <c r="D246" s="118"/>
      <c r="E246" s="4"/>
      <c r="F246" s="5"/>
      <c r="G246" s="366" t="s">
        <v>400</v>
      </c>
      <c r="H246" s="366">
        <f>IF(条件入力!D8=250,0.6,IF(条件入力!D8=300,0.7,IF(条件入力!D8=350,0.8,IF(条件入力!D8=400,0.9,IF(条件入力!D8=450,0.9,IF(条件入力!D8=500,1,IF(条件入力!D8=600,1.1,1.3)))))))</f>
        <v>0.9</v>
      </c>
      <c r="I246" s="700">
        <f>労務単価!E51</f>
        <v>20900</v>
      </c>
      <c r="J246" s="701"/>
      <c r="K246" s="702"/>
      <c r="L246" s="700">
        <f>ROUND(H246*I246,0)</f>
        <v>18810</v>
      </c>
      <c r="M246" s="701"/>
      <c r="N246" s="701"/>
      <c r="O246" s="702"/>
      <c r="P246" s="5" t="s">
        <v>425</v>
      </c>
      <c r="Q246" s="5"/>
      <c r="R246" s="6"/>
    </row>
    <row r="247" spans="1:18" x14ac:dyDescent="0.15">
      <c r="A247" s="119" t="s">
        <v>401</v>
      </c>
      <c r="B247" s="118"/>
      <c r="C247" s="118"/>
      <c r="D247" s="118"/>
      <c r="E247" s="4" t="s">
        <v>402</v>
      </c>
      <c r="F247" s="5"/>
      <c r="G247" s="366" t="s">
        <v>195</v>
      </c>
      <c r="H247" s="366">
        <f>IF(条件入力!D8=250,0.2,IF(条件入力!D8=300,0.2,IF(条件入力!D8=350,0.3,IF(条件入力!D8=400,0.3,IF(条件入力!D8=450,0.3,IF(条件入力!D8=500,0.3,IF(条件入力!D8=600,0.85,0.9)))))))</f>
        <v>0.3</v>
      </c>
      <c r="I247" s="700">
        <f>機械単価!D70</f>
        <v>37000</v>
      </c>
      <c r="J247" s="701"/>
      <c r="K247" s="702"/>
      <c r="L247" s="700">
        <f>ROUND(H247*I247,0)</f>
        <v>11100</v>
      </c>
      <c r="M247" s="701"/>
      <c r="N247" s="701"/>
      <c r="O247" s="702"/>
      <c r="P247" s="5"/>
      <c r="Q247" s="5"/>
      <c r="R247" s="6"/>
    </row>
    <row r="248" spans="1:18" x14ac:dyDescent="0.15">
      <c r="A248" s="119" t="s">
        <v>184</v>
      </c>
      <c r="B248" s="118"/>
      <c r="C248" s="118"/>
      <c r="D248" s="118"/>
      <c r="E248" s="4"/>
      <c r="F248" s="5"/>
      <c r="G248" s="8"/>
      <c r="H248" s="8"/>
      <c r="I248" s="5"/>
      <c r="J248" s="5"/>
      <c r="K248" s="5"/>
      <c r="L248" s="700">
        <f>SUM(L243:O247)</f>
        <v>144683</v>
      </c>
      <c r="M248" s="701"/>
      <c r="N248" s="701"/>
      <c r="O248" s="702"/>
      <c r="P248" s="5"/>
      <c r="Q248" s="5"/>
      <c r="R248" s="6"/>
    </row>
    <row r="249" spans="1:18" x14ac:dyDescent="0.15">
      <c r="A249" s="114"/>
      <c r="B249" s="114"/>
      <c r="C249" s="114"/>
      <c r="D249" s="114"/>
    </row>
    <row r="250" spans="1:18" x14ac:dyDescent="0.15">
      <c r="A250" s="114" t="s">
        <v>426</v>
      </c>
      <c r="B250" s="114"/>
      <c r="C250" s="114"/>
      <c r="D250" s="114"/>
      <c r="Q250" s="14" t="s">
        <v>418</v>
      </c>
    </row>
    <row r="251" spans="1:18" x14ac:dyDescent="0.15">
      <c r="A251" s="115" t="s">
        <v>304</v>
      </c>
      <c r="B251" s="116"/>
      <c r="C251" s="116"/>
      <c r="D251" s="116"/>
      <c r="E251" s="736" t="s">
        <v>305</v>
      </c>
      <c r="F251" s="737"/>
      <c r="G251" s="9" t="s">
        <v>306</v>
      </c>
      <c r="H251" s="9" t="s">
        <v>307</v>
      </c>
      <c r="I251" s="10" t="s">
        <v>308</v>
      </c>
      <c r="J251" s="10"/>
      <c r="K251" s="10"/>
      <c r="L251" s="7" t="s">
        <v>309</v>
      </c>
      <c r="M251" s="10"/>
      <c r="N251" s="10"/>
      <c r="O251" s="11"/>
      <c r="P251" s="10" t="s">
        <v>310</v>
      </c>
      <c r="Q251" s="10"/>
      <c r="R251" s="11"/>
    </row>
    <row r="252" spans="1:18" x14ac:dyDescent="0.15">
      <c r="A252" s="119" t="s">
        <v>419</v>
      </c>
      <c r="B252" s="118"/>
      <c r="C252" s="118"/>
      <c r="D252" s="118"/>
      <c r="E252" s="4"/>
      <c r="F252" s="5"/>
      <c r="G252" s="366" t="s">
        <v>420</v>
      </c>
      <c r="H252" s="366">
        <v>1</v>
      </c>
      <c r="I252" s="700">
        <f>IF(条件入力!D8=250,75000,IF(条件入力!D8=300,80000,IF(条件入力!D8=350,86000,IF(条件入力!D8=400,94000,IF(条件入力!D8=450,101000,110000)))))</f>
        <v>94000</v>
      </c>
      <c r="J252" s="701"/>
      <c r="K252" s="702"/>
      <c r="L252" s="700">
        <f>ROUND(H252*I252,0)</f>
        <v>94000</v>
      </c>
      <c r="M252" s="701"/>
      <c r="N252" s="701"/>
      <c r="O252" s="702"/>
      <c r="P252" s="5"/>
      <c r="Q252" s="5"/>
      <c r="R252" s="6"/>
    </row>
    <row r="253" spans="1:18" x14ac:dyDescent="0.15">
      <c r="A253" s="119" t="s">
        <v>421</v>
      </c>
      <c r="B253" s="118"/>
      <c r="C253" s="118"/>
      <c r="D253" s="118"/>
      <c r="E253" s="4"/>
      <c r="F253" s="5"/>
      <c r="G253" s="366" t="s">
        <v>137</v>
      </c>
      <c r="H253" s="366">
        <f>IF(条件入力!D8=250,2.4,IF(条件入力!D8=300,2.7,IF(条件入力!D8=350,2.9,IF(条件入力!D8=400,3.2,IF(条件入力!D8=450,3.5,IF(条件入力!D8=500,3.7,IF(条件入力!D8=600,4,4.6)))))))</f>
        <v>3.2</v>
      </c>
      <c r="I253" s="700">
        <f>L268</f>
        <v>3358</v>
      </c>
      <c r="J253" s="701"/>
      <c r="K253" s="702"/>
      <c r="L253" s="700">
        <f>ROUND(H253*I253,0)</f>
        <v>10746</v>
      </c>
      <c r="M253" s="701"/>
      <c r="N253" s="701"/>
      <c r="O253" s="702"/>
      <c r="P253" s="5" t="s">
        <v>422</v>
      </c>
      <c r="Q253" s="5"/>
      <c r="R253" s="6"/>
    </row>
    <row r="254" spans="1:18" x14ac:dyDescent="0.15">
      <c r="A254" s="119" t="s">
        <v>423</v>
      </c>
      <c r="B254" s="118"/>
      <c r="C254" s="118"/>
      <c r="D254" s="118"/>
      <c r="E254" s="4"/>
      <c r="F254" s="5"/>
      <c r="G254" s="366" t="s">
        <v>137</v>
      </c>
      <c r="H254" s="366">
        <f>IF(条件入力!D8=250,4.8,IF(条件入力!D8=300,5.4,IF(条件入力!D8=350,5.8,IF(条件入力!D8=400,6.4,IF(条件入力!D8=450,7,IF(条件入力!D8=500,7.4,IF(条件入力!D8=600,8,9.2)))))))</f>
        <v>6.4</v>
      </c>
      <c r="I254" s="700">
        <f>L277</f>
        <v>2348</v>
      </c>
      <c r="J254" s="701"/>
      <c r="K254" s="702"/>
      <c r="L254" s="700">
        <f>ROUND(H254*I254,0)</f>
        <v>15027</v>
      </c>
      <c r="M254" s="701"/>
      <c r="N254" s="701"/>
      <c r="O254" s="702"/>
      <c r="P254" s="5" t="s">
        <v>424</v>
      </c>
      <c r="Q254" s="5"/>
      <c r="R254" s="6"/>
    </row>
    <row r="255" spans="1:18" x14ac:dyDescent="0.15">
      <c r="A255" s="119" t="s">
        <v>5</v>
      </c>
      <c r="B255" s="118"/>
      <c r="C255" s="118"/>
      <c r="D255" s="118"/>
      <c r="E255" s="4"/>
      <c r="F255" s="5"/>
      <c r="G255" s="366" t="s">
        <v>427</v>
      </c>
      <c r="H255" s="366">
        <f>IF(条件入力!D8=250,0.6,IF(条件入力!D8=300,0.7,IF(条件入力!D8=350,0.8,IF(条件入力!D8=400,0.9,IF(条件入力!D8=450,0.9,IF(条件入力!D8=500,1,IF(条件入力!D8=600,1.1,1.3)))))))</f>
        <v>0.9</v>
      </c>
      <c r="I255" s="700">
        <f>労務単価!E51</f>
        <v>20900</v>
      </c>
      <c r="J255" s="701"/>
      <c r="K255" s="702"/>
      <c r="L255" s="700">
        <f>ROUND(H255*I255,0)</f>
        <v>18810</v>
      </c>
      <c r="M255" s="701"/>
      <c r="N255" s="701"/>
      <c r="O255" s="702"/>
      <c r="P255" s="5" t="s">
        <v>425</v>
      </c>
      <c r="Q255" s="5"/>
      <c r="R255" s="6"/>
    </row>
    <row r="256" spans="1:18" x14ac:dyDescent="0.15">
      <c r="A256" s="119" t="s">
        <v>401</v>
      </c>
      <c r="B256" s="118"/>
      <c r="C256" s="118"/>
      <c r="D256" s="118"/>
      <c r="E256" s="4" t="s">
        <v>402</v>
      </c>
      <c r="F256" s="5"/>
      <c r="G256" s="366" t="s">
        <v>195</v>
      </c>
      <c r="H256" s="366">
        <f>IF(条件入力!D8=250,0.2,IF(条件入力!D8=300,0.2,IF(条件入力!D8=350,0.3,IF(条件入力!D8=400,0.3,IF(条件入力!D8=450,0.3,IF(条件入力!D8=500,0.3,IF(条件入力!D8=600,0.85,0.9)))))))</f>
        <v>0.3</v>
      </c>
      <c r="I256" s="700">
        <f>機械単価!D70</f>
        <v>37000</v>
      </c>
      <c r="J256" s="701"/>
      <c r="K256" s="702"/>
      <c r="L256" s="700">
        <f>ROUND(H256*I256,0)</f>
        <v>11100</v>
      </c>
      <c r="M256" s="701"/>
      <c r="N256" s="701"/>
      <c r="O256" s="702"/>
      <c r="P256" s="5"/>
      <c r="Q256" s="5"/>
      <c r="R256" s="6"/>
    </row>
    <row r="257" spans="1:18" x14ac:dyDescent="0.15">
      <c r="A257" s="119" t="s">
        <v>184</v>
      </c>
      <c r="B257" s="118"/>
      <c r="C257" s="118"/>
      <c r="D257" s="118"/>
      <c r="E257" s="4"/>
      <c r="F257" s="5"/>
      <c r="G257" s="8"/>
      <c r="H257" s="8"/>
      <c r="I257" s="5"/>
      <c r="J257" s="5"/>
      <c r="K257" s="5"/>
      <c r="L257" s="700">
        <f>SUM(L252:O256)</f>
        <v>149683</v>
      </c>
      <c r="M257" s="701"/>
      <c r="N257" s="701"/>
      <c r="O257" s="702"/>
      <c r="P257" s="5"/>
      <c r="Q257" s="5"/>
      <c r="R257" s="6"/>
    </row>
    <row r="258" spans="1:18" x14ac:dyDescent="0.15">
      <c r="A258" s="114"/>
      <c r="B258" s="114"/>
      <c r="C258" s="114"/>
      <c r="D258" s="114"/>
    </row>
    <row r="259" spans="1:18" x14ac:dyDescent="0.15">
      <c r="A259" s="114" t="s">
        <v>428</v>
      </c>
      <c r="B259" s="114"/>
      <c r="C259" s="114"/>
      <c r="D259" s="114"/>
      <c r="Q259" s="1" t="s">
        <v>395</v>
      </c>
    </row>
    <row r="260" spans="1:18" x14ac:dyDescent="0.15">
      <c r="A260" s="115" t="s">
        <v>304</v>
      </c>
      <c r="B260" s="116"/>
      <c r="C260" s="116"/>
      <c r="D260" s="116"/>
      <c r="E260" s="736" t="s">
        <v>305</v>
      </c>
      <c r="F260" s="737"/>
      <c r="G260" s="9" t="s">
        <v>306</v>
      </c>
      <c r="H260" s="9" t="s">
        <v>307</v>
      </c>
      <c r="I260" s="10" t="s">
        <v>308</v>
      </c>
      <c r="J260" s="10"/>
      <c r="K260" s="10"/>
      <c r="L260" s="7" t="s">
        <v>309</v>
      </c>
      <c r="M260" s="10"/>
      <c r="N260" s="10"/>
      <c r="O260" s="11"/>
      <c r="P260" s="10" t="s">
        <v>310</v>
      </c>
      <c r="Q260" s="10"/>
      <c r="R260" s="11"/>
    </row>
    <row r="261" spans="1:18" x14ac:dyDescent="0.15">
      <c r="A261" s="119" t="s">
        <v>338</v>
      </c>
      <c r="B261" s="118"/>
      <c r="C261" s="118"/>
      <c r="D261" s="121"/>
      <c r="E261" s="5"/>
      <c r="F261" s="5"/>
      <c r="G261" s="366" t="s">
        <v>429</v>
      </c>
      <c r="H261" s="366">
        <v>2.7</v>
      </c>
      <c r="I261" s="700">
        <f>機械単価!H82</f>
        <v>13</v>
      </c>
      <c r="J261" s="701"/>
      <c r="K261" s="702"/>
      <c r="L261" s="700">
        <f t="shared" ref="L261:L266" si="2">ROUND(H261*I261,0)</f>
        <v>35</v>
      </c>
      <c r="M261" s="701"/>
      <c r="N261" s="701"/>
      <c r="O261" s="702"/>
      <c r="P261" s="5"/>
      <c r="Q261" s="5"/>
      <c r="R261" s="6"/>
    </row>
    <row r="262" spans="1:18" x14ac:dyDescent="0.15">
      <c r="A262" s="119" t="s">
        <v>430</v>
      </c>
      <c r="B262" s="118"/>
      <c r="C262" s="118"/>
      <c r="D262" s="121"/>
      <c r="E262" s="5"/>
      <c r="F262" s="5"/>
      <c r="G262" s="366" t="s">
        <v>411</v>
      </c>
      <c r="H262" s="366">
        <v>0.4</v>
      </c>
      <c r="I262" s="700">
        <f>機械単価!H78</f>
        <v>320</v>
      </c>
      <c r="J262" s="701"/>
      <c r="K262" s="702"/>
      <c r="L262" s="700">
        <f t="shared" si="2"/>
        <v>128</v>
      </c>
      <c r="M262" s="701"/>
      <c r="N262" s="701"/>
      <c r="O262" s="702"/>
      <c r="P262" s="5"/>
      <c r="Q262" s="5"/>
      <c r="R262" s="6"/>
    </row>
    <row r="263" spans="1:18" x14ac:dyDescent="0.15">
      <c r="A263" s="119" t="s">
        <v>399</v>
      </c>
      <c r="B263" s="118"/>
      <c r="C263" s="118"/>
      <c r="D263" s="121"/>
      <c r="E263" s="5"/>
      <c r="F263" s="5"/>
      <c r="G263" s="366" t="s">
        <v>427</v>
      </c>
      <c r="H263" s="366">
        <v>0.01</v>
      </c>
      <c r="I263" s="700">
        <f>労務単価!O51</f>
        <v>27800</v>
      </c>
      <c r="J263" s="701"/>
      <c r="K263" s="702"/>
      <c r="L263" s="700">
        <f t="shared" si="2"/>
        <v>278</v>
      </c>
      <c r="M263" s="701"/>
      <c r="N263" s="701"/>
      <c r="O263" s="702"/>
      <c r="P263" s="5"/>
      <c r="Q263" s="5"/>
      <c r="R263" s="6"/>
    </row>
    <row r="264" spans="1:18" x14ac:dyDescent="0.15">
      <c r="A264" s="119" t="s">
        <v>9</v>
      </c>
      <c r="B264" s="118"/>
      <c r="C264" s="118"/>
      <c r="D264" s="121"/>
      <c r="E264" s="5"/>
      <c r="F264" s="5"/>
      <c r="G264" s="366" t="s">
        <v>427</v>
      </c>
      <c r="H264" s="366">
        <v>7.5999999999999998E-2</v>
      </c>
      <c r="I264" s="700">
        <f>労務単価!I51</f>
        <v>31100</v>
      </c>
      <c r="J264" s="701"/>
      <c r="K264" s="702"/>
      <c r="L264" s="700">
        <f t="shared" si="2"/>
        <v>2364</v>
      </c>
      <c r="M264" s="701"/>
      <c r="N264" s="701"/>
      <c r="O264" s="702"/>
      <c r="P264" s="5"/>
      <c r="Q264" s="5"/>
      <c r="R264" s="6"/>
    </row>
    <row r="265" spans="1:18" x14ac:dyDescent="0.15">
      <c r="A265" s="119" t="s">
        <v>5</v>
      </c>
      <c r="B265" s="118"/>
      <c r="C265" s="118"/>
      <c r="D265" s="121"/>
      <c r="E265" s="5"/>
      <c r="F265" s="5"/>
      <c r="G265" s="366" t="s">
        <v>427</v>
      </c>
      <c r="H265" s="366">
        <v>2.1000000000000001E-2</v>
      </c>
      <c r="I265" s="700">
        <f>労務単価!E51</f>
        <v>20900</v>
      </c>
      <c r="J265" s="701"/>
      <c r="K265" s="702"/>
      <c r="L265" s="700">
        <f t="shared" si="2"/>
        <v>439</v>
      </c>
      <c r="M265" s="701"/>
      <c r="N265" s="701"/>
      <c r="O265" s="702"/>
      <c r="P265" s="5"/>
      <c r="Q265" s="5"/>
      <c r="R265" s="6"/>
    </row>
    <row r="266" spans="1:18" x14ac:dyDescent="0.15">
      <c r="A266" s="119" t="s">
        <v>431</v>
      </c>
      <c r="B266" s="118"/>
      <c r="C266" s="118"/>
      <c r="D266" s="121"/>
      <c r="E266" s="5"/>
      <c r="F266" s="5"/>
      <c r="G266" s="366" t="s">
        <v>195</v>
      </c>
      <c r="H266" s="366">
        <v>7.5999999999999998E-2</v>
      </c>
      <c r="I266" s="700">
        <f>機械単価!F71</f>
        <v>1000</v>
      </c>
      <c r="J266" s="701"/>
      <c r="K266" s="702"/>
      <c r="L266" s="700">
        <f t="shared" si="2"/>
        <v>76</v>
      </c>
      <c r="M266" s="701"/>
      <c r="N266" s="701"/>
      <c r="O266" s="702"/>
      <c r="P266" s="5"/>
      <c r="Q266" s="5"/>
      <c r="R266" s="6"/>
    </row>
    <row r="267" spans="1:18" x14ac:dyDescent="0.15">
      <c r="A267" s="119" t="s">
        <v>403</v>
      </c>
      <c r="B267" s="118"/>
      <c r="C267" s="118"/>
      <c r="D267" s="121"/>
      <c r="E267" s="5"/>
      <c r="F267" s="5"/>
      <c r="G267" s="366" t="s">
        <v>322</v>
      </c>
      <c r="H267" s="366">
        <v>1</v>
      </c>
      <c r="I267" s="5"/>
      <c r="J267" s="5"/>
      <c r="K267" s="6"/>
      <c r="L267" s="700">
        <f>ROUND(L262*0.3,0)</f>
        <v>38</v>
      </c>
      <c r="M267" s="701"/>
      <c r="N267" s="701"/>
      <c r="O267" s="702"/>
      <c r="P267" s="5" t="s">
        <v>432</v>
      </c>
      <c r="Q267" s="5"/>
      <c r="R267" s="6"/>
    </row>
    <row r="268" spans="1:18" ht="15.75" customHeight="1" x14ac:dyDescent="0.15">
      <c r="A268" s="119" t="s">
        <v>184</v>
      </c>
      <c r="B268" s="118"/>
      <c r="C268" s="118"/>
      <c r="D268" s="121"/>
      <c r="E268" s="5"/>
      <c r="F268" s="5"/>
      <c r="G268" s="8"/>
      <c r="H268" s="8"/>
      <c r="I268" s="5"/>
      <c r="J268" s="5"/>
      <c r="K268" s="6"/>
      <c r="L268" s="700">
        <f>SUM(L261:O267)</f>
        <v>3358</v>
      </c>
      <c r="M268" s="701"/>
      <c r="N268" s="701"/>
      <c r="O268" s="702"/>
      <c r="P268" s="5"/>
      <c r="Q268" s="5"/>
      <c r="R268" s="6"/>
    </row>
    <row r="269" spans="1:18" x14ac:dyDescent="0.15">
      <c r="A269" s="114" t="s">
        <v>433</v>
      </c>
      <c r="B269" s="114"/>
      <c r="C269" s="114"/>
      <c r="D269" s="114"/>
      <c r="Q269" s="1" t="s">
        <v>395</v>
      </c>
    </row>
    <row r="270" spans="1:18" x14ac:dyDescent="0.15">
      <c r="A270" s="115" t="s">
        <v>304</v>
      </c>
      <c r="B270" s="116"/>
      <c r="C270" s="116"/>
      <c r="D270" s="116"/>
      <c r="E270" s="736" t="s">
        <v>305</v>
      </c>
      <c r="F270" s="737"/>
      <c r="G270" s="9" t="s">
        <v>306</v>
      </c>
      <c r="H270" s="9" t="s">
        <v>307</v>
      </c>
      <c r="I270" s="10" t="s">
        <v>308</v>
      </c>
      <c r="J270" s="10"/>
      <c r="K270" s="10"/>
      <c r="L270" s="7" t="s">
        <v>309</v>
      </c>
      <c r="M270" s="10"/>
      <c r="N270" s="10"/>
      <c r="O270" s="11"/>
      <c r="P270" s="10" t="s">
        <v>310</v>
      </c>
      <c r="Q270" s="10"/>
      <c r="R270" s="11"/>
    </row>
    <row r="271" spans="1:18" x14ac:dyDescent="0.15">
      <c r="A271" s="119" t="s">
        <v>434</v>
      </c>
      <c r="B271" s="118"/>
      <c r="C271" s="118"/>
      <c r="D271" s="121"/>
      <c r="E271" s="5"/>
      <c r="F271" s="5"/>
      <c r="G271" s="366" t="s">
        <v>429</v>
      </c>
      <c r="H271" s="366">
        <v>0.16300000000000001</v>
      </c>
      <c r="I271" s="700">
        <f>機械単価!H79</f>
        <v>290</v>
      </c>
      <c r="J271" s="701"/>
      <c r="K271" s="702"/>
      <c r="L271" s="700">
        <f>ROUND(H271*I271,0)</f>
        <v>47</v>
      </c>
      <c r="M271" s="701"/>
      <c r="N271" s="701"/>
      <c r="O271" s="702"/>
      <c r="P271" s="5"/>
      <c r="Q271" s="5"/>
      <c r="R271" s="6"/>
    </row>
    <row r="272" spans="1:18" x14ac:dyDescent="0.15">
      <c r="A272" s="119" t="s">
        <v>435</v>
      </c>
      <c r="B272" s="118"/>
      <c r="C272" s="118"/>
      <c r="D272" s="121"/>
      <c r="E272" s="5"/>
      <c r="F272" s="5"/>
      <c r="G272" s="366" t="s">
        <v>411</v>
      </c>
      <c r="H272" s="366">
        <v>2.8000000000000001E-2</v>
      </c>
      <c r="I272" s="700">
        <f>機械単価!H80</f>
        <v>1090</v>
      </c>
      <c r="J272" s="701"/>
      <c r="K272" s="702"/>
      <c r="L272" s="700">
        <f>ROUND(H272*I272,0)</f>
        <v>31</v>
      </c>
      <c r="M272" s="701"/>
      <c r="N272" s="701"/>
      <c r="O272" s="702"/>
      <c r="P272" s="5"/>
      <c r="Q272" s="5"/>
      <c r="R272" s="6"/>
    </row>
    <row r="273" spans="1:18" x14ac:dyDescent="0.15">
      <c r="A273" s="119" t="s">
        <v>399</v>
      </c>
      <c r="B273" s="118"/>
      <c r="C273" s="118"/>
      <c r="D273" s="121"/>
      <c r="E273" s="5"/>
      <c r="F273" s="5"/>
      <c r="G273" s="366" t="s">
        <v>427</v>
      </c>
      <c r="H273" s="366">
        <v>7.0000000000000001E-3</v>
      </c>
      <c r="I273" s="700">
        <f>労務単価!O51</f>
        <v>27800</v>
      </c>
      <c r="J273" s="701"/>
      <c r="K273" s="702"/>
      <c r="L273" s="700">
        <f>ROUND(H273*I273,0)</f>
        <v>195</v>
      </c>
      <c r="M273" s="701"/>
      <c r="N273" s="701"/>
      <c r="O273" s="702"/>
      <c r="P273" s="5"/>
      <c r="Q273" s="5"/>
      <c r="R273" s="6"/>
    </row>
    <row r="274" spans="1:18" x14ac:dyDescent="0.15">
      <c r="A274" s="119" t="s">
        <v>9</v>
      </c>
      <c r="B274" s="118"/>
      <c r="C274" s="118"/>
      <c r="D274" s="121"/>
      <c r="E274" s="5"/>
      <c r="F274" s="5"/>
      <c r="G274" s="366" t="s">
        <v>427</v>
      </c>
      <c r="H274" s="366">
        <v>5.2999999999999999E-2</v>
      </c>
      <c r="I274" s="700">
        <f>労務単価!I51</f>
        <v>31100</v>
      </c>
      <c r="J274" s="701"/>
      <c r="K274" s="702"/>
      <c r="L274" s="700">
        <f>ROUND(H274*I274,0)</f>
        <v>1648</v>
      </c>
      <c r="M274" s="701"/>
      <c r="N274" s="701"/>
      <c r="O274" s="702"/>
      <c r="P274" s="5"/>
      <c r="Q274" s="5"/>
      <c r="R274" s="6"/>
    </row>
    <row r="275" spans="1:18" x14ac:dyDescent="0.15">
      <c r="A275" s="119" t="s">
        <v>5</v>
      </c>
      <c r="B275" s="118"/>
      <c r="C275" s="118"/>
      <c r="D275" s="121"/>
      <c r="E275" s="5"/>
      <c r="F275" s="5"/>
      <c r="G275" s="366" t="s">
        <v>427</v>
      </c>
      <c r="H275" s="366">
        <v>0.02</v>
      </c>
      <c r="I275" s="700">
        <f>労務単価!E51</f>
        <v>20900</v>
      </c>
      <c r="J275" s="701"/>
      <c r="K275" s="702"/>
      <c r="L275" s="700">
        <f>ROUND(H275*I275,0)</f>
        <v>418</v>
      </c>
      <c r="M275" s="701"/>
      <c r="N275" s="701"/>
      <c r="O275" s="702"/>
      <c r="P275" s="5"/>
      <c r="Q275" s="5"/>
      <c r="R275" s="6"/>
    </row>
    <row r="276" spans="1:18" x14ac:dyDescent="0.15">
      <c r="A276" s="119" t="s">
        <v>403</v>
      </c>
      <c r="B276" s="118"/>
      <c r="C276" s="118"/>
      <c r="D276" s="121"/>
      <c r="E276" s="5"/>
      <c r="F276" s="5"/>
      <c r="G276" s="366" t="s">
        <v>322</v>
      </c>
      <c r="H276" s="366">
        <v>1</v>
      </c>
      <c r="I276" s="5"/>
      <c r="J276" s="5"/>
      <c r="K276" s="6"/>
      <c r="L276" s="700">
        <f>ROUND(L272*0.3,0)</f>
        <v>9</v>
      </c>
      <c r="M276" s="701"/>
      <c r="N276" s="701"/>
      <c r="O276" s="702"/>
      <c r="P276" s="15" t="s">
        <v>436</v>
      </c>
      <c r="Q276" s="5"/>
      <c r="R276" s="6"/>
    </row>
    <row r="277" spans="1:18" x14ac:dyDescent="0.15">
      <c r="A277" s="119" t="s">
        <v>184</v>
      </c>
      <c r="B277" s="118"/>
      <c r="C277" s="118"/>
      <c r="D277" s="121"/>
      <c r="E277" s="5"/>
      <c r="F277" s="5"/>
      <c r="G277" s="8"/>
      <c r="H277" s="8"/>
      <c r="I277" s="5"/>
      <c r="J277" s="5"/>
      <c r="K277" s="6"/>
      <c r="L277" s="700">
        <f>SUM(L271:O276)</f>
        <v>2348</v>
      </c>
      <c r="M277" s="701"/>
      <c r="N277" s="701"/>
      <c r="O277" s="702"/>
      <c r="P277" s="5"/>
      <c r="Q277" s="5"/>
      <c r="R277" s="6"/>
    </row>
    <row r="278" spans="1:18" x14ac:dyDescent="0.15">
      <c r="A278" s="114"/>
      <c r="B278" s="114"/>
      <c r="C278" s="114"/>
      <c r="D278" s="114"/>
    </row>
    <row r="279" spans="1:18" x14ac:dyDescent="0.15">
      <c r="A279" s="114" t="s">
        <v>437</v>
      </c>
      <c r="B279" s="114"/>
      <c r="C279" s="114"/>
      <c r="D279" s="114"/>
      <c r="Q279" s="14" t="s">
        <v>418</v>
      </c>
    </row>
    <row r="280" spans="1:18" x14ac:dyDescent="0.15">
      <c r="A280" s="115" t="s">
        <v>304</v>
      </c>
      <c r="B280" s="116"/>
      <c r="C280" s="116"/>
      <c r="D280" s="116"/>
      <c r="E280" s="736" t="s">
        <v>305</v>
      </c>
      <c r="F280" s="737"/>
      <c r="G280" s="9" t="s">
        <v>306</v>
      </c>
      <c r="H280" s="9" t="s">
        <v>307</v>
      </c>
      <c r="I280" s="10" t="s">
        <v>308</v>
      </c>
      <c r="J280" s="10"/>
      <c r="K280" s="10"/>
      <c r="L280" s="7" t="s">
        <v>309</v>
      </c>
      <c r="M280" s="10"/>
      <c r="N280" s="10"/>
      <c r="O280" s="11"/>
      <c r="P280" s="10" t="s">
        <v>310</v>
      </c>
      <c r="Q280" s="10"/>
      <c r="R280" s="11"/>
    </row>
    <row r="281" spans="1:18" x14ac:dyDescent="0.15">
      <c r="A281" s="119" t="s">
        <v>399</v>
      </c>
      <c r="B281" s="118"/>
      <c r="C281" s="118"/>
      <c r="D281" s="121"/>
      <c r="E281" s="5"/>
      <c r="F281" s="5"/>
      <c r="G281" s="366" t="s">
        <v>427</v>
      </c>
      <c r="H281" s="366">
        <v>1.5</v>
      </c>
      <c r="I281" s="700">
        <f>労務単価!O51</f>
        <v>27800</v>
      </c>
      <c r="J281" s="701"/>
      <c r="K281" s="702"/>
      <c r="L281" s="700">
        <f t="shared" ref="L281:L288" si="3">H281*I281</f>
        <v>41700</v>
      </c>
      <c r="M281" s="701"/>
      <c r="N281" s="701"/>
      <c r="O281" s="702"/>
      <c r="P281" s="5"/>
      <c r="Q281" s="5"/>
      <c r="R281" s="6"/>
    </row>
    <row r="282" spans="1:18" x14ac:dyDescent="0.15">
      <c r="A282" s="119" t="s">
        <v>6</v>
      </c>
      <c r="B282" s="118"/>
      <c r="C282" s="118"/>
      <c r="D282" s="121"/>
      <c r="E282" s="5"/>
      <c r="F282" s="5"/>
      <c r="G282" s="366" t="s">
        <v>427</v>
      </c>
      <c r="H282" s="366">
        <v>1.5</v>
      </c>
      <c r="I282" s="700">
        <f>労務単価!F51</f>
        <v>28600</v>
      </c>
      <c r="J282" s="701"/>
      <c r="K282" s="702"/>
      <c r="L282" s="700">
        <f t="shared" si="3"/>
        <v>42900</v>
      </c>
      <c r="M282" s="701"/>
      <c r="N282" s="701"/>
      <c r="O282" s="702"/>
      <c r="P282" s="5"/>
      <c r="Q282" s="5"/>
      <c r="R282" s="6"/>
    </row>
    <row r="283" spans="1:18" x14ac:dyDescent="0.15">
      <c r="A283" s="119" t="s">
        <v>4</v>
      </c>
      <c r="B283" s="118"/>
      <c r="C283" s="118"/>
      <c r="D283" s="121"/>
      <c r="E283" s="5"/>
      <c r="F283" s="5"/>
      <c r="G283" s="366" t="s">
        <v>427</v>
      </c>
      <c r="H283" s="366">
        <v>3</v>
      </c>
      <c r="I283" s="703">
        <f>労務単価!D51</f>
        <v>25300</v>
      </c>
      <c r="J283" s="704"/>
      <c r="K283" s="705"/>
      <c r="L283" s="700">
        <f t="shared" si="3"/>
        <v>75900</v>
      </c>
      <c r="M283" s="701"/>
      <c r="N283" s="701"/>
      <c r="O283" s="702"/>
      <c r="P283" s="5"/>
      <c r="Q283" s="5"/>
      <c r="R283" s="6"/>
    </row>
    <row r="284" spans="1:18" x14ac:dyDescent="0.15">
      <c r="A284" s="119" t="s">
        <v>5</v>
      </c>
      <c r="B284" s="118"/>
      <c r="C284" s="118"/>
      <c r="D284" s="121"/>
      <c r="E284" s="5"/>
      <c r="F284" s="5"/>
      <c r="G284" s="366" t="s">
        <v>427</v>
      </c>
      <c r="H284" s="366">
        <v>3</v>
      </c>
      <c r="I284" s="700">
        <f>労務単価!E51</f>
        <v>20900</v>
      </c>
      <c r="J284" s="701"/>
      <c r="K284" s="702"/>
      <c r="L284" s="700">
        <f t="shared" si="3"/>
        <v>62700</v>
      </c>
      <c r="M284" s="701"/>
      <c r="N284" s="701"/>
      <c r="O284" s="702"/>
      <c r="P284" s="5"/>
      <c r="Q284" s="5"/>
      <c r="R284" s="6"/>
    </row>
    <row r="285" spans="1:18" x14ac:dyDescent="0.15">
      <c r="A285" s="119" t="s">
        <v>9</v>
      </c>
      <c r="B285" s="118"/>
      <c r="C285" s="118"/>
      <c r="D285" s="118"/>
      <c r="E285" s="4"/>
      <c r="F285" s="5"/>
      <c r="G285" s="366" t="s">
        <v>427</v>
      </c>
      <c r="H285" s="366">
        <v>1</v>
      </c>
      <c r="I285" s="703">
        <f>労務単価!I51</f>
        <v>31100</v>
      </c>
      <c r="J285" s="704"/>
      <c r="K285" s="705"/>
      <c r="L285" s="700">
        <f t="shared" si="3"/>
        <v>31100</v>
      </c>
      <c r="M285" s="701"/>
      <c r="N285" s="701"/>
      <c r="O285" s="702"/>
      <c r="P285" s="4"/>
      <c r="Q285" s="5"/>
      <c r="R285" s="6"/>
    </row>
    <row r="286" spans="1:18" x14ac:dyDescent="0.15">
      <c r="A286" s="119" t="s">
        <v>401</v>
      </c>
      <c r="B286" s="118"/>
      <c r="C286" s="118"/>
      <c r="D286" s="121"/>
      <c r="E286" s="5" t="s">
        <v>402</v>
      </c>
      <c r="F286" s="5"/>
      <c r="G286" s="366" t="s">
        <v>195</v>
      </c>
      <c r="H286" s="366">
        <f>IF(条件入力!D8&gt;500,0,IF(条件入力!D8&lt;600,IF(条件入力!D18=1,1.5,IF(条件入力!D18=2,IF(条件入力!D8&lt;350,1.5,0)))))</f>
        <v>0</v>
      </c>
      <c r="I286" s="700">
        <f>機械単価!D70</f>
        <v>37000</v>
      </c>
      <c r="J286" s="701"/>
      <c r="K286" s="702"/>
      <c r="L286" s="700">
        <f t="shared" si="3"/>
        <v>0</v>
      </c>
      <c r="M286" s="701"/>
      <c r="N286" s="701"/>
      <c r="O286" s="702"/>
      <c r="P286" s="5"/>
      <c r="Q286" s="5"/>
      <c r="R286" s="6"/>
    </row>
    <row r="287" spans="1:18" x14ac:dyDescent="0.15">
      <c r="A287" s="119" t="s">
        <v>401</v>
      </c>
      <c r="B287" s="118"/>
      <c r="C287" s="118"/>
      <c r="D287" s="121"/>
      <c r="E287" s="5" t="s">
        <v>438</v>
      </c>
      <c r="F287" s="5"/>
      <c r="G287" s="366" t="s">
        <v>195</v>
      </c>
      <c r="H287" s="366">
        <f>IF(条件入力!D8&gt;300,IF(条件入力!D18=1,0,IF(条件入力!D8&lt;600,1.5,0)),0)</f>
        <v>1.5</v>
      </c>
      <c r="I287" s="700">
        <f>機械単価!D71</f>
        <v>41000</v>
      </c>
      <c r="J287" s="701"/>
      <c r="K287" s="702"/>
      <c r="L287" s="700">
        <f t="shared" si="3"/>
        <v>61500</v>
      </c>
      <c r="M287" s="701"/>
      <c r="N287" s="701"/>
      <c r="O287" s="702"/>
      <c r="P287" s="10" t="s">
        <v>439</v>
      </c>
      <c r="Q287" s="5"/>
      <c r="R287" s="6"/>
    </row>
    <row r="288" spans="1:18" x14ac:dyDescent="0.15">
      <c r="A288" s="119" t="s">
        <v>401</v>
      </c>
      <c r="B288" s="118"/>
      <c r="C288" s="118"/>
      <c r="D288" s="121"/>
      <c r="E288" s="5" t="s">
        <v>440</v>
      </c>
      <c r="F288" s="5"/>
      <c r="G288" s="366" t="s">
        <v>195</v>
      </c>
      <c r="H288" s="366">
        <f>IF(条件入力!D8&gt;500,1.5,0)</f>
        <v>0</v>
      </c>
      <c r="I288" s="723">
        <f>機械単価!D73</f>
        <v>45000</v>
      </c>
      <c r="J288" s="724"/>
      <c r="K288" s="724"/>
      <c r="L288" s="700">
        <f t="shared" si="3"/>
        <v>0</v>
      </c>
      <c r="M288" s="701"/>
      <c r="N288" s="701"/>
      <c r="O288" s="702"/>
      <c r="P288" s="4"/>
      <c r="Q288" s="5"/>
      <c r="R288" s="6"/>
    </row>
    <row r="289" spans="1:18" x14ac:dyDescent="0.15">
      <c r="A289" s="119" t="s">
        <v>184</v>
      </c>
      <c r="B289" s="118"/>
      <c r="C289" s="118"/>
      <c r="D289" s="121"/>
      <c r="E289" s="5"/>
      <c r="F289" s="5"/>
      <c r="G289" s="8"/>
      <c r="H289" s="8"/>
      <c r="I289" s="5"/>
      <c r="J289" s="5"/>
      <c r="K289" s="6"/>
      <c r="L289" s="700">
        <f>SUM(L281:O288)</f>
        <v>315800</v>
      </c>
      <c r="M289" s="701"/>
      <c r="N289" s="701"/>
      <c r="O289" s="702"/>
      <c r="P289" s="5"/>
      <c r="Q289" s="5"/>
      <c r="R289" s="6"/>
    </row>
    <row r="290" spans="1:18" x14ac:dyDescent="0.15">
      <c r="A290" s="114"/>
      <c r="B290" s="114"/>
      <c r="C290" s="114"/>
      <c r="D290" s="114"/>
    </row>
    <row r="291" spans="1:18" x14ac:dyDescent="0.15">
      <c r="A291" s="114" t="s">
        <v>441</v>
      </c>
      <c r="B291" s="114"/>
      <c r="C291" s="114"/>
      <c r="D291" s="114"/>
      <c r="Q291" s="14" t="s">
        <v>442</v>
      </c>
    </row>
    <row r="292" spans="1:18" x14ac:dyDescent="0.15">
      <c r="A292" s="115" t="s">
        <v>304</v>
      </c>
      <c r="B292" s="116"/>
      <c r="C292" s="116"/>
      <c r="D292" s="116"/>
      <c r="E292" s="736" t="s">
        <v>305</v>
      </c>
      <c r="F292" s="737"/>
      <c r="G292" s="9" t="s">
        <v>306</v>
      </c>
      <c r="H292" s="9" t="s">
        <v>307</v>
      </c>
      <c r="I292" s="10" t="s">
        <v>308</v>
      </c>
      <c r="J292" s="10"/>
      <c r="K292" s="10"/>
      <c r="L292" s="7" t="s">
        <v>309</v>
      </c>
      <c r="M292" s="10"/>
      <c r="N292" s="10"/>
      <c r="O292" s="11"/>
      <c r="P292" s="10" t="s">
        <v>310</v>
      </c>
      <c r="Q292" s="10"/>
      <c r="R292" s="11"/>
    </row>
    <row r="293" spans="1:18" x14ac:dyDescent="0.15">
      <c r="A293" s="119" t="s">
        <v>443</v>
      </c>
      <c r="B293" s="118"/>
      <c r="C293" s="118"/>
      <c r="D293" s="121"/>
      <c r="E293" s="5"/>
      <c r="F293" s="5"/>
      <c r="G293" s="366" t="s">
        <v>444</v>
      </c>
      <c r="H293" s="366">
        <f>IF(条件入力!D8&lt;350,0.24,IF(条件入力!D8&lt;600,0.3,0.67))</f>
        <v>0.3</v>
      </c>
      <c r="I293" s="700">
        <f>機械単価!H75</f>
        <v>42000</v>
      </c>
      <c r="J293" s="701"/>
      <c r="K293" s="702"/>
      <c r="L293" s="700">
        <f>ROUND(H293*I293,0)</f>
        <v>12600</v>
      </c>
      <c r="M293" s="701"/>
      <c r="N293" s="701"/>
      <c r="O293" s="702"/>
      <c r="P293" s="5"/>
      <c r="Q293" s="5"/>
      <c r="R293" s="6"/>
    </row>
    <row r="294" spans="1:18" x14ac:dyDescent="0.15">
      <c r="A294" s="119" t="s">
        <v>403</v>
      </c>
      <c r="B294" s="118"/>
      <c r="C294" s="118"/>
      <c r="D294" s="121"/>
      <c r="E294" s="5"/>
      <c r="F294" s="5"/>
      <c r="G294" s="366" t="s">
        <v>322</v>
      </c>
      <c r="H294" s="366">
        <v>1</v>
      </c>
      <c r="I294" s="700"/>
      <c r="J294" s="701"/>
      <c r="K294" s="702"/>
      <c r="L294" s="700">
        <f>ROUND(L293*0.3,0)</f>
        <v>3780</v>
      </c>
      <c r="M294" s="701"/>
      <c r="N294" s="701"/>
      <c r="O294" s="702"/>
      <c r="P294" s="10" t="s">
        <v>445</v>
      </c>
      <c r="Q294" s="5"/>
      <c r="R294" s="6"/>
    </row>
    <row r="295" spans="1:18" x14ac:dyDescent="0.15">
      <c r="A295" s="119" t="s">
        <v>446</v>
      </c>
      <c r="B295" s="118"/>
      <c r="C295" s="118"/>
      <c r="D295" s="121"/>
      <c r="E295" s="15" t="s">
        <v>447</v>
      </c>
      <c r="F295" s="5"/>
      <c r="G295" s="366" t="s">
        <v>444</v>
      </c>
      <c r="H295" s="366">
        <f>H293</f>
        <v>0.3</v>
      </c>
      <c r="I295" s="700">
        <f>L310</f>
        <v>20911</v>
      </c>
      <c r="J295" s="701"/>
      <c r="K295" s="702"/>
      <c r="L295" s="700">
        <f>ROUND(H295*I295,0)</f>
        <v>6273</v>
      </c>
      <c r="M295" s="701"/>
      <c r="N295" s="701"/>
      <c r="O295" s="702"/>
      <c r="P295" s="5" t="s">
        <v>448</v>
      </c>
      <c r="Q295" s="5"/>
      <c r="R295" s="6"/>
    </row>
    <row r="296" spans="1:18" x14ac:dyDescent="0.15">
      <c r="A296" s="119" t="s">
        <v>449</v>
      </c>
      <c r="B296" s="118"/>
      <c r="C296" s="118"/>
      <c r="D296" s="121"/>
      <c r="E296" s="15" t="s">
        <v>450</v>
      </c>
      <c r="F296" s="5"/>
      <c r="G296" s="366" t="s">
        <v>444</v>
      </c>
      <c r="H296" s="366">
        <f>H293</f>
        <v>0.3</v>
      </c>
      <c r="I296" s="700">
        <f>L311</f>
        <v>20753</v>
      </c>
      <c r="J296" s="701"/>
      <c r="K296" s="702"/>
      <c r="L296" s="700">
        <f>ROUND(H296*I296,0)</f>
        <v>6226</v>
      </c>
      <c r="M296" s="701"/>
      <c r="N296" s="701"/>
      <c r="O296" s="702"/>
      <c r="P296" s="5" t="s">
        <v>448</v>
      </c>
      <c r="Q296" s="5"/>
      <c r="R296" s="6"/>
    </row>
    <row r="297" spans="1:18" x14ac:dyDescent="0.15">
      <c r="A297" s="726" t="s">
        <v>184</v>
      </c>
      <c r="B297" s="727"/>
      <c r="C297" s="727"/>
      <c r="D297" s="728"/>
      <c r="E297" s="5"/>
      <c r="F297" s="5"/>
      <c r="G297" s="8"/>
      <c r="H297" s="8"/>
      <c r="I297" s="5"/>
      <c r="J297" s="5"/>
      <c r="K297" s="6"/>
      <c r="L297" s="700">
        <f>SUM(L293:O296)</f>
        <v>28879</v>
      </c>
      <c r="M297" s="701"/>
      <c r="N297" s="701"/>
      <c r="O297" s="702"/>
      <c r="P297" s="5"/>
      <c r="Q297" s="5"/>
      <c r="R297" s="6"/>
    </row>
    <row r="298" spans="1:18" x14ac:dyDescent="0.15">
      <c r="A298" s="114"/>
      <c r="B298" s="114"/>
      <c r="C298" s="114"/>
      <c r="D298" s="114"/>
    </row>
    <row r="299" spans="1:18" x14ac:dyDescent="0.15">
      <c r="A299" s="114" t="s">
        <v>451</v>
      </c>
      <c r="B299" s="114"/>
      <c r="C299" s="114"/>
      <c r="D299" s="114"/>
      <c r="Q299" s="1" t="s">
        <v>452</v>
      </c>
    </row>
    <row r="300" spans="1:18" x14ac:dyDescent="0.15">
      <c r="A300" s="115" t="s">
        <v>304</v>
      </c>
      <c r="B300" s="116"/>
      <c r="C300" s="116"/>
      <c r="D300" s="116"/>
      <c r="E300" s="736" t="s">
        <v>305</v>
      </c>
      <c r="F300" s="737"/>
      <c r="G300" s="9" t="s">
        <v>306</v>
      </c>
      <c r="H300" s="9" t="s">
        <v>307</v>
      </c>
      <c r="I300" s="10" t="s">
        <v>308</v>
      </c>
      <c r="J300" s="10"/>
      <c r="K300" s="10"/>
      <c r="L300" s="7" t="s">
        <v>309</v>
      </c>
      <c r="M300" s="10"/>
      <c r="N300" s="10"/>
      <c r="O300" s="11"/>
      <c r="P300" s="10" t="s">
        <v>310</v>
      </c>
      <c r="Q300" s="10"/>
      <c r="R300" s="11"/>
    </row>
    <row r="301" spans="1:18" x14ac:dyDescent="0.15">
      <c r="A301" s="119" t="s">
        <v>399</v>
      </c>
      <c r="B301" s="118"/>
      <c r="C301" s="118"/>
      <c r="D301" s="118"/>
      <c r="E301" s="4"/>
      <c r="F301" s="5"/>
      <c r="G301" s="366" t="s">
        <v>427</v>
      </c>
      <c r="H301" s="366">
        <v>1</v>
      </c>
      <c r="I301" s="700">
        <f>労務単価!O51</f>
        <v>27800</v>
      </c>
      <c r="J301" s="701"/>
      <c r="K301" s="702"/>
      <c r="L301" s="700">
        <f>H301*I301</f>
        <v>27800</v>
      </c>
      <c r="M301" s="701"/>
      <c r="N301" s="701"/>
      <c r="O301" s="702"/>
      <c r="P301" s="5"/>
      <c r="Q301" s="5"/>
      <c r="R301" s="6"/>
    </row>
    <row r="302" spans="1:18" x14ac:dyDescent="0.15">
      <c r="A302" s="119" t="s">
        <v>6</v>
      </c>
      <c r="B302" s="118"/>
      <c r="C302" s="118"/>
      <c r="D302" s="118"/>
      <c r="E302" s="4"/>
      <c r="F302" s="5"/>
      <c r="G302" s="366" t="s">
        <v>427</v>
      </c>
      <c r="H302" s="366">
        <v>2</v>
      </c>
      <c r="I302" s="700">
        <f>労務単価!F51</f>
        <v>28600</v>
      </c>
      <c r="J302" s="701"/>
      <c r="K302" s="702"/>
      <c r="L302" s="700">
        <f>H302*I302</f>
        <v>57200</v>
      </c>
      <c r="M302" s="701"/>
      <c r="N302" s="701"/>
      <c r="O302" s="702"/>
      <c r="P302" s="5"/>
      <c r="Q302" s="5"/>
      <c r="R302" s="6"/>
    </row>
    <row r="303" spans="1:18" x14ac:dyDescent="0.15">
      <c r="A303" s="119" t="s">
        <v>9</v>
      </c>
      <c r="B303" s="118"/>
      <c r="C303" s="118"/>
      <c r="D303" s="118"/>
      <c r="E303" s="4"/>
      <c r="F303" s="5"/>
      <c r="G303" s="366" t="s">
        <v>427</v>
      </c>
      <c r="H303" s="366">
        <v>1</v>
      </c>
      <c r="I303" s="700">
        <f>労務単価!I51</f>
        <v>31100</v>
      </c>
      <c r="J303" s="701"/>
      <c r="K303" s="702"/>
      <c r="L303" s="700">
        <f>H303*I303</f>
        <v>31100</v>
      </c>
      <c r="M303" s="701"/>
      <c r="N303" s="701"/>
      <c r="O303" s="702"/>
      <c r="P303" s="5"/>
      <c r="Q303" s="5"/>
      <c r="R303" s="6"/>
    </row>
    <row r="304" spans="1:18" x14ac:dyDescent="0.15">
      <c r="A304" s="119" t="s">
        <v>5</v>
      </c>
      <c r="B304" s="118"/>
      <c r="C304" s="118"/>
      <c r="D304" s="118"/>
      <c r="E304" s="4"/>
      <c r="F304" s="5"/>
      <c r="G304" s="366" t="s">
        <v>427</v>
      </c>
      <c r="H304" s="366">
        <v>2</v>
      </c>
      <c r="I304" s="700">
        <f>労務単価!E51</f>
        <v>20900</v>
      </c>
      <c r="J304" s="701"/>
      <c r="K304" s="702"/>
      <c r="L304" s="700">
        <f>H304*I304</f>
        <v>41800</v>
      </c>
      <c r="M304" s="701"/>
      <c r="N304" s="701"/>
      <c r="O304" s="702"/>
      <c r="P304" s="5"/>
      <c r="Q304" s="5"/>
      <c r="R304" s="6"/>
    </row>
    <row r="305" spans="1:18" x14ac:dyDescent="0.15">
      <c r="A305" s="119" t="s">
        <v>401</v>
      </c>
      <c r="B305" s="118"/>
      <c r="C305" s="118"/>
      <c r="D305" s="118"/>
      <c r="E305" s="4" t="str">
        <f>IF(条件入力!D8&lt;600,"4.8～4.9t","25t")</f>
        <v>4.8～4.9t</v>
      </c>
      <c r="F305" s="5"/>
      <c r="G305" s="366" t="s">
        <v>195</v>
      </c>
      <c r="H305" s="366">
        <v>1</v>
      </c>
      <c r="I305" s="700">
        <f>IF(条件入力!D8&lt;600,機械単価!D70,機械単価!D74)</f>
        <v>37000</v>
      </c>
      <c r="J305" s="701"/>
      <c r="K305" s="702"/>
      <c r="L305" s="700">
        <f>H305*I305</f>
        <v>37000</v>
      </c>
      <c r="M305" s="701"/>
      <c r="N305" s="701"/>
      <c r="O305" s="702"/>
      <c r="P305" s="5"/>
      <c r="Q305" s="5"/>
      <c r="R305" s="6"/>
    </row>
    <row r="306" spans="1:18" x14ac:dyDescent="0.15">
      <c r="A306" s="119" t="s">
        <v>403</v>
      </c>
      <c r="B306" s="118"/>
      <c r="C306" s="118"/>
      <c r="D306" s="121"/>
      <c r="E306" s="4" t="s">
        <v>453</v>
      </c>
      <c r="F306" s="6"/>
      <c r="G306" s="366" t="s">
        <v>322</v>
      </c>
      <c r="H306" s="8">
        <v>1</v>
      </c>
      <c r="I306" s="725"/>
      <c r="J306" s="725"/>
      <c r="K306" s="725"/>
      <c r="L306" s="700">
        <f>ROUND((L301+L302+L303+L304)*0.09,0)</f>
        <v>14211</v>
      </c>
      <c r="M306" s="701"/>
      <c r="N306" s="701"/>
      <c r="O306" s="702"/>
      <c r="P306" s="5" t="s">
        <v>454</v>
      </c>
      <c r="Q306" s="5"/>
      <c r="R306" s="6"/>
    </row>
    <row r="307" spans="1:18" x14ac:dyDescent="0.15">
      <c r="A307" s="119" t="s">
        <v>403</v>
      </c>
      <c r="B307" s="118"/>
      <c r="C307" s="118"/>
      <c r="D307" s="121"/>
      <c r="E307" s="4" t="s">
        <v>455</v>
      </c>
      <c r="F307" s="6"/>
      <c r="G307" s="366" t="s">
        <v>322</v>
      </c>
      <c r="H307" s="8">
        <v>1</v>
      </c>
      <c r="I307" s="725"/>
      <c r="J307" s="725"/>
      <c r="K307" s="725"/>
      <c r="L307" s="700">
        <f>ROUND((L301+L302+L303+L304)*0.08,0)</f>
        <v>12632</v>
      </c>
      <c r="M307" s="701"/>
      <c r="N307" s="701"/>
      <c r="O307" s="702"/>
      <c r="P307" s="5" t="s">
        <v>456</v>
      </c>
      <c r="Q307" s="5"/>
      <c r="R307" s="6"/>
    </row>
    <row r="308" spans="1:18" x14ac:dyDescent="0.15">
      <c r="A308" s="726" t="s">
        <v>184</v>
      </c>
      <c r="B308" s="727"/>
      <c r="C308" s="727"/>
      <c r="D308" s="728"/>
      <c r="E308" s="4"/>
      <c r="F308" s="5"/>
      <c r="G308" s="8"/>
      <c r="H308" s="8"/>
      <c r="I308" s="709"/>
      <c r="J308" s="710"/>
      <c r="K308" s="711"/>
      <c r="L308" s="700">
        <f>SUM(L301:O306)</f>
        <v>209111</v>
      </c>
      <c r="M308" s="701"/>
      <c r="N308" s="701"/>
      <c r="O308" s="702"/>
      <c r="P308" s="5" t="s">
        <v>457</v>
      </c>
      <c r="Q308" s="5"/>
      <c r="R308" s="6"/>
    </row>
    <row r="309" spans="1:18" x14ac:dyDescent="0.15">
      <c r="A309" s="726" t="s">
        <v>184</v>
      </c>
      <c r="B309" s="727"/>
      <c r="C309" s="727"/>
      <c r="D309" s="728"/>
      <c r="E309" s="4"/>
      <c r="F309" s="6"/>
      <c r="G309" s="8"/>
      <c r="H309" s="8"/>
      <c r="I309" s="725"/>
      <c r="J309" s="725"/>
      <c r="K309" s="725"/>
      <c r="L309" s="700">
        <f>L301+L302+L303+L304+L305+L307</f>
        <v>207532</v>
      </c>
      <c r="M309" s="704"/>
      <c r="N309" s="704"/>
      <c r="O309" s="705"/>
      <c r="P309" s="4" t="s">
        <v>458</v>
      </c>
      <c r="Q309" s="5"/>
      <c r="R309" s="6"/>
    </row>
    <row r="310" spans="1:18" x14ac:dyDescent="0.15">
      <c r="A310" s="119" t="s">
        <v>459</v>
      </c>
      <c r="B310" s="118"/>
      <c r="C310" s="118"/>
      <c r="D310" s="118"/>
      <c r="E310" s="4" t="s">
        <v>453</v>
      </c>
      <c r="F310" s="5"/>
      <c r="G310" s="8"/>
      <c r="H310" s="8"/>
      <c r="I310" s="5"/>
      <c r="J310" s="5"/>
      <c r="K310" s="5"/>
      <c r="L310" s="700">
        <f>ROUND(L308/10,0)</f>
        <v>20911</v>
      </c>
      <c r="M310" s="701"/>
      <c r="N310" s="701"/>
      <c r="O310" s="702"/>
      <c r="P310" s="5" t="s">
        <v>460</v>
      </c>
      <c r="Q310" s="5"/>
      <c r="R310" s="6"/>
    </row>
    <row r="311" spans="1:18" x14ac:dyDescent="0.15">
      <c r="A311" s="119" t="s">
        <v>459</v>
      </c>
      <c r="B311" s="118"/>
      <c r="C311" s="118"/>
      <c r="D311" s="118"/>
      <c r="E311" s="4" t="s">
        <v>455</v>
      </c>
      <c r="F311" s="5"/>
      <c r="G311" s="8"/>
      <c r="H311" s="8"/>
      <c r="I311" s="5"/>
      <c r="J311" s="5"/>
      <c r="K311" s="5"/>
      <c r="L311" s="700">
        <f>ROUND(L309/10,0)</f>
        <v>20753</v>
      </c>
      <c r="M311" s="701"/>
      <c r="N311" s="701"/>
      <c r="O311" s="702"/>
      <c r="P311" s="5" t="s">
        <v>460</v>
      </c>
      <c r="Q311" s="5"/>
      <c r="R311" s="6"/>
    </row>
    <row r="312" spans="1:18" x14ac:dyDescent="0.15">
      <c r="A312" s="114"/>
      <c r="B312" s="114"/>
      <c r="C312" s="114"/>
      <c r="D312" s="114"/>
    </row>
    <row r="313" spans="1:18" x14ac:dyDescent="0.15">
      <c r="A313" s="114" t="s">
        <v>461</v>
      </c>
      <c r="B313" s="114"/>
      <c r="C313" s="114"/>
      <c r="D313" s="114"/>
      <c r="Q313" s="1" t="s">
        <v>462</v>
      </c>
    </row>
    <row r="314" spans="1:18" x14ac:dyDescent="0.15">
      <c r="A314" s="115" t="s">
        <v>304</v>
      </c>
      <c r="B314" s="116"/>
      <c r="C314" s="116"/>
      <c r="D314" s="116"/>
      <c r="E314" s="736" t="s">
        <v>305</v>
      </c>
      <c r="F314" s="737"/>
      <c r="G314" s="9" t="s">
        <v>306</v>
      </c>
      <c r="H314" s="9" t="s">
        <v>307</v>
      </c>
      <c r="I314" s="10" t="s">
        <v>308</v>
      </c>
      <c r="J314" s="10"/>
      <c r="K314" s="10"/>
      <c r="L314" s="7" t="s">
        <v>309</v>
      </c>
      <c r="M314" s="10"/>
      <c r="N314" s="10"/>
      <c r="O314" s="11"/>
      <c r="P314" s="10" t="s">
        <v>310</v>
      </c>
      <c r="Q314" s="10"/>
      <c r="R314" s="11"/>
    </row>
    <row r="315" spans="1:18" x14ac:dyDescent="0.15">
      <c r="A315" s="119" t="s">
        <v>399</v>
      </c>
      <c r="B315" s="118"/>
      <c r="C315" s="118"/>
      <c r="D315" s="118"/>
      <c r="E315" s="4"/>
      <c r="F315" s="5"/>
      <c r="G315" s="366" t="s">
        <v>427</v>
      </c>
      <c r="H315" s="366">
        <f>IF(条件入力!D18=1,1,0.5)</f>
        <v>0.5</v>
      </c>
      <c r="I315" s="700">
        <f>労務単価!O51</f>
        <v>27800</v>
      </c>
      <c r="J315" s="701"/>
      <c r="K315" s="702"/>
      <c r="L315" s="700">
        <f>H315*I315</f>
        <v>13900</v>
      </c>
      <c r="M315" s="701"/>
      <c r="N315" s="701"/>
      <c r="O315" s="702"/>
      <c r="P315" s="5"/>
      <c r="Q315" s="5"/>
      <c r="R315" s="6"/>
    </row>
    <row r="316" spans="1:18" x14ac:dyDescent="0.15">
      <c r="A316" s="119" t="s">
        <v>6</v>
      </c>
      <c r="B316" s="118"/>
      <c r="C316" s="118"/>
      <c r="D316" s="118"/>
      <c r="E316" s="4"/>
      <c r="F316" s="5"/>
      <c r="G316" s="366" t="s">
        <v>427</v>
      </c>
      <c r="H316" s="366">
        <f>IF(条件入力!D18=1,2,1)</f>
        <v>1</v>
      </c>
      <c r="I316" s="700">
        <f>労務単価!F51</f>
        <v>28600</v>
      </c>
      <c r="J316" s="701"/>
      <c r="K316" s="702"/>
      <c r="L316" s="700">
        <f>H316*I316</f>
        <v>28600</v>
      </c>
      <c r="M316" s="701"/>
      <c r="N316" s="701"/>
      <c r="O316" s="702"/>
      <c r="P316" s="15" t="s">
        <v>463</v>
      </c>
      <c r="Q316" s="5"/>
      <c r="R316" s="6"/>
    </row>
    <row r="317" spans="1:18" x14ac:dyDescent="0.15">
      <c r="A317" s="119" t="s">
        <v>4</v>
      </c>
      <c r="B317" s="118"/>
      <c r="C317" s="118"/>
      <c r="D317" s="118"/>
      <c r="E317" s="4"/>
      <c r="F317" s="5"/>
      <c r="G317" s="366" t="s">
        <v>427</v>
      </c>
      <c r="H317" s="366">
        <f>IF(条件入力!D18=1,2,1)</f>
        <v>1</v>
      </c>
      <c r="I317" s="700">
        <f>労務単価!D51</f>
        <v>25300</v>
      </c>
      <c r="J317" s="701"/>
      <c r="K317" s="702"/>
      <c r="L317" s="700">
        <f>H317*I317</f>
        <v>25300</v>
      </c>
      <c r="M317" s="701"/>
      <c r="N317" s="701"/>
      <c r="O317" s="702"/>
      <c r="P317" s="15" t="s">
        <v>464</v>
      </c>
      <c r="Q317" s="5"/>
      <c r="R317" s="6"/>
    </row>
    <row r="318" spans="1:18" x14ac:dyDescent="0.15">
      <c r="A318" s="119" t="s">
        <v>5</v>
      </c>
      <c r="B318" s="118"/>
      <c r="C318" s="118"/>
      <c r="D318" s="118"/>
      <c r="E318" s="4"/>
      <c r="F318" s="5"/>
      <c r="G318" s="366" t="s">
        <v>427</v>
      </c>
      <c r="H318" s="366">
        <f>IF(条件入力!D18=1,1,0.5)</f>
        <v>0.5</v>
      </c>
      <c r="I318" s="700">
        <f>労務単価!E51</f>
        <v>20900</v>
      </c>
      <c r="J318" s="701"/>
      <c r="K318" s="702"/>
      <c r="L318" s="700">
        <f>H318*I318</f>
        <v>10450</v>
      </c>
      <c r="M318" s="701"/>
      <c r="N318" s="701"/>
      <c r="O318" s="702"/>
      <c r="P318" s="5" t="s">
        <v>465</v>
      </c>
      <c r="Q318" s="5"/>
      <c r="R318" s="6"/>
    </row>
    <row r="319" spans="1:18" x14ac:dyDescent="0.15">
      <c r="A319" s="119" t="s">
        <v>401</v>
      </c>
      <c r="B319" s="118"/>
      <c r="C319" s="118"/>
      <c r="D319" s="118"/>
      <c r="E319" s="4"/>
      <c r="F319" s="5"/>
      <c r="G319" s="366" t="s">
        <v>195</v>
      </c>
      <c r="H319" s="366">
        <f>IF(条件入力!D8&lt;600,1,0.5)</f>
        <v>1</v>
      </c>
      <c r="I319" s="700">
        <f>IF(条件入力!D18=1,機械単価!D70,IF(条件入力!D8&lt;=300,機械単価!D70,IF(条件入力!D18=2,IF(条件入力!D8&lt;600,機械単価!D71,機械単価!D72))))</f>
        <v>41000</v>
      </c>
      <c r="J319" s="701"/>
      <c r="K319" s="702"/>
      <c r="L319" s="700">
        <f>H319*I319</f>
        <v>41000</v>
      </c>
      <c r="M319" s="701"/>
      <c r="N319" s="701"/>
      <c r="O319" s="702"/>
      <c r="P319" s="717"/>
      <c r="Q319" s="718"/>
      <c r="R319" s="719"/>
    </row>
    <row r="320" spans="1:18" x14ac:dyDescent="0.15">
      <c r="A320" s="119" t="s">
        <v>184</v>
      </c>
      <c r="B320" s="118"/>
      <c r="C320" s="118"/>
      <c r="D320" s="118"/>
      <c r="E320" s="4"/>
      <c r="F320" s="5"/>
      <c r="G320" s="8"/>
      <c r="H320" s="8"/>
      <c r="I320" s="5"/>
      <c r="J320" s="5"/>
      <c r="K320" s="5"/>
      <c r="L320" s="700">
        <f>SUM(L315:O319)</f>
        <v>119250</v>
      </c>
      <c r="M320" s="701"/>
      <c r="N320" s="701"/>
      <c r="O320" s="702"/>
      <c r="P320" s="5"/>
      <c r="Q320" s="5"/>
      <c r="R320" s="6"/>
    </row>
    <row r="321" spans="1:18" x14ac:dyDescent="0.15">
      <c r="A321" s="114"/>
      <c r="B321" s="114"/>
      <c r="C321" s="114"/>
      <c r="D321" s="114"/>
    </row>
    <row r="322" spans="1:18" x14ac:dyDescent="0.15">
      <c r="A322" s="114"/>
      <c r="B322" s="114"/>
      <c r="C322" s="114"/>
      <c r="D322" s="114"/>
    </row>
    <row r="323" spans="1:18" x14ac:dyDescent="0.15">
      <c r="A323" s="114"/>
      <c r="B323" s="114"/>
      <c r="C323" s="114"/>
      <c r="D323" s="114"/>
    </row>
    <row r="324" spans="1:18" x14ac:dyDescent="0.15">
      <c r="A324" s="114" t="s">
        <v>466</v>
      </c>
      <c r="B324" s="114"/>
      <c r="C324" s="114"/>
      <c r="D324" s="114"/>
      <c r="Q324" s="1" t="s">
        <v>467</v>
      </c>
    </row>
    <row r="325" spans="1:18" x14ac:dyDescent="0.15">
      <c r="A325" s="115" t="s">
        <v>304</v>
      </c>
      <c r="B325" s="116"/>
      <c r="C325" s="116"/>
      <c r="D325" s="116"/>
      <c r="E325" s="736" t="s">
        <v>305</v>
      </c>
      <c r="F325" s="737"/>
      <c r="G325" s="9" t="s">
        <v>306</v>
      </c>
      <c r="H325" s="9" t="s">
        <v>307</v>
      </c>
      <c r="I325" s="10" t="s">
        <v>308</v>
      </c>
      <c r="J325" s="10"/>
      <c r="K325" s="10"/>
      <c r="L325" s="7" t="s">
        <v>309</v>
      </c>
      <c r="M325" s="10"/>
      <c r="N325" s="10"/>
      <c r="O325" s="11"/>
      <c r="P325" s="10" t="s">
        <v>310</v>
      </c>
      <c r="Q325" s="10"/>
      <c r="R325" s="11"/>
    </row>
    <row r="326" spans="1:18" x14ac:dyDescent="0.15">
      <c r="A326" s="119" t="s">
        <v>399</v>
      </c>
      <c r="B326" s="118"/>
      <c r="C326" s="118"/>
      <c r="D326" s="118"/>
      <c r="E326" s="4"/>
      <c r="F326" s="5"/>
      <c r="G326" s="366" t="s">
        <v>427</v>
      </c>
      <c r="H326" s="366">
        <v>0.5</v>
      </c>
      <c r="I326" s="700">
        <f>労務単価!O51</f>
        <v>27800</v>
      </c>
      <c r="J326" s="701"/>
      <c r="K326" s="702"/>
      <c r="L326" s="700">
        <f t="shared" ref="L326:L331" si="4">H326*I326</f>
        <v>13900</v>
      </c>
      <c r="M326" s="701"/>
      <c r="N326" s="701"/>
      <c r="O326" s="702"/>
      <c r="P326" s="5"/>
      <c r="Q326" s="5"/>
      <c r="R326" s="6"/>
    </row>
    <row r="327" spans="1:18" x14ac:dyDescent="0.15">
      <c r="A327" s="119" t="s">
        <v>6</v>
      </c>
      <c r="B327" s="118"/>
      <c r="C327" s="118"/>
      <c r="D327" s="118"/>
      <c r="E327" s="4"/>
      <c r="F327" s="5"/>
      <c r="G327" s="366" t="s">
        <v>427</v>
      </c>
      <c r="H327" s="366">
        <v>0.5</v>
      </c>
      <c r="I327" s="700">
        <f>労務単価!F51</f>
        <v>28600</v>
      </c>
      <c r="J327" s="701"/>
      <c r="K327" s="702"/>
      <c r="L327" s="700">
        <f t="shared" si="4"/>
        <v>14300</v>
      </c>
      <c r="M327" s="701"/>
      <c r="N327" s="701"/>
      <c r="O327" s="702"/>
      <c r="P327" s="5" t="s">
        <v>468</v>
      </c>
      <c r="Q327" s="5"/>
      <c r="R327" s="6"/>
    </row>
    <row r="328" spans="1:18" x14ac:dyDescent="0.15">
      <c r="A328" s="119" t="s">
        <v>4</v>
      </c>
      <c r="B328" s="118"/>
      <c r="C328" s="118"/>
      <c r="D328" s="118"/>
      <c r="E328" s="4"/>
      <c r="F328" s="5"/>
      <c r="G328" s="366" t="s">
        <v>427</v>
      </c>
      <c r="H328" s="366">
        <v>0.5</v>
      </c>
      <c r="I328" s="700">
        <f>労務単価!D51</f>
        <v>25300</v>
      </c>
      <c r="J328" s="701"/>
      <c r="K328" s="702"/>
      <c r="L328" s="700">
        <f t="shared" si="4"/>
        <v>12650</v>
      </c>
      <c r="M328" s="701"/>
      <c r="N328" s="701"/>
      <c r="O328" s="702"/>
      <c r="P328" s="5" t="s">
        <v>469</v>
      </c>
      <c r="Q328" s="5"/>
      <c r="R328" s="6"/>
    </row>
    <row r="329" spans="1:18" x14ac:dyDescent="0.15">
      <c r="A329" s="119" t="s">
        <v>5</v>
      </c>
      <c r="B329" s="118"/>
      <c r="C329" s="118"/>
      <c r="D329" s="118"/>
      <c r="E329" s="4"/>
      <c r="F329" s="5"/>
      <c r="G329" s="366" t="s">
        <v>427</v>
      </c>
      <c r="H329" s="366">
        <v>1</v>
      </c>
      <c r="I329" s="700">
        <f>労務単価!E51</f>
        <v>20900</v>
      </c>
      <c r="J329" s="701"/>
      <c r="K329" s="702"/>
      <c r="L329" s="700">
        <f t="shared" si="4"/>
        <v>20900</v>
      </c>
      <c r="M329" s="701"/>
      <c r="N329" s="701"/>
      <c r="O329" s="702"/>
      <c r="P329" s="5" t="s">
        <v>470</v>
      </c>
      <c r="Q329" s="5"/>
      <c r="R329" s="6"/>
    </row>
    <row r="330" spans="1:18" x14ac:dyDescent="0.15">
      <c r="A330" s="119" t="s">
        <v>401</v>
      </c>
      <c r="B330" s="118"/>
      <c r="C330" s="118"/>
      <c r="D330" s="118"/>
      <c r="E330" s="4" t="s">
        <v>402</v>
      </c>
      <c r="F330" s="5"/>
      <c r="G330" s="366" t="s">
        <v>195</v>
      </c>
      <c r="H330" s="366">
        <v>0.5</v>
      </c>
      <c r="I330" s="700">
        <f>IF(条件入力!D8&lt;=300,機械単価!D70,0)</f>
        <v>0</v>
      </c>
      <c r="J330" s="701"/>
      <c r="K330" s="702"/>
      <c r="L330" s="700">
        <f t="shared" si="4"/>
        <v>0</v>
      </c>
      <c r="M330" s="701"/>
      <c r="N330" s="701"/>
      <c r="O330" s="702"/>
      <c r="P330" s="5" t="s">
        <v>471</v>
      </c>
      <c r="Q330" s="5"/>
      <c r="R330" s="6"/>
    </row>
    <row r="331" spans="1:18" x14ac:dyDescent="0.15">
      <c r="A331" s="119" t="s">
        <v>401</v>
      </c>
      <c r="B331" s="118"/>
      <c r="C331" s="118"/>
      <c r="D331" s="118"/>
      <c r="E331" s="4" t="s">
        <v>438</v>
      </c>
      <c r="F331" s="5"/>
      <c r="G331" s="366" t="s">
        <v>195</v>
      </c>
      <c r="H331" s="366">
        <v>0.5</v>
      </c>
      <c r="I331" s="700">
        <f>IF(条件入力!D8=350,機械単価!D71,IF(条件入力!D8=400,機械単価!D71,IF(条件入力!D8=450,機械単価!D71,IF(条件入力!D8=500,機械単価!D71,0))))</f>
        <v>41000</v>
      </c>
      <c r="J331" s="701"/>
      <c r="K331" s="702"/>
      <c r="L331" s="700">
        <f t="shared" si="4"/>
        <v>20500</v>
      </c>
      <c r="M331" s="701"/>
      <c r="N331" s="701"/>
      <c r="O331" s="702"/>
      <c r="P331" s="5" t="s">
        <v>472</v>
      </c>
      <c r="Q331" s="5"/>
      <c r="R331" s="6"/>
    </row>
    <row r="332" spans="1:18" x14ac:dyDescent="0.15">
      <c r="A332" s="119" t="s">
        <v>401</v>
      </c>
      <c r="B332" s="118"/>
      <c r="C332" s="118"/>
      <c r="D332" s="118"/>
      <c r="E332" s="4" t="s">
        <v>473</v>
      </c>
      <c r="F332" s="5"/>
      <c r="G332" s="366" t="s">
        <v>195</v>
      </c>
      <c r="H332" s="366">
        <v>0.5</v>
      </c>
      <c r="I332" s="723">
        <f>IF(条件入力!D8=600,機械単価!D72,IF(条件入力!D8=700,機械単価!D72,0))</f>
        <v>0</v>
      </c>
      <c r="J332" s="723"/>
      <c r="K332" s="723"/>
      <c r="L332" s="700">
        <f>H332*I332</f>
        <v>0</v>
      </c>
      <c r="M332" s="701"/>
      <c r="N332" s="701"/>
      <c r="O332" s="702"/>
      <c r="P332" s="717" t="s">
        <v>474</v>
      </c>
      <c r="Q332" s="718"/>
      <c r="R332" s="719"/>
    </row>
    <row r="333" spans="1:18" x14ac:dyDescent="0.15">
      <c r="A333" s="119" t="s">
        <v>184</v>
      </c>
      <c r="B333" s="118"/>
      <c r="C333" s="118"/>
      <c r="D333" s="118"/>
      <c r="E333" s="4"/>
      <c r="F333" s="5"/>
      <c r="G333" s="8"/>
      <c r="H333" s="8"/>
      <c r="I333" s="5"/>
      <c r="J333" s="5"/>
      <c r="K333" s="5"/>
      <c r="L333" s="700">
        <f>SUM(L326:O332)</f>
        <v>82250</v>
      </c>
      <c r="M333" s="701"/>
      <c r="N333" s="701"/>
      <c r="O333" s="702"/>
      <c r="P333" s="5"/>
      <c r="Q333" s="5"/>
      <c r="R333" s="6"/>
    </row>
    <row r="334" spans="1:18" x14ac:dyDescent="0.15">
      <c r="A334" s="114"/>
      <c r="B334" s="114"/>
      <c r="C334" s="114"/>
      <c r="D334" s="114"/>
    </row>
    <row r="335" spans="1:18" x14ac:dyDescent="0.15">
      <c r="A335" s="114" t="s">
        <v>475</v>
      </c>
      <c r="B335" s="114"/>
      <c r="C335" s="114"/>
      <c r="D335" s="114"/>
      <c r="Q335" s="1" t="s">
        <v>476</v>
      </c>
    </row>
    <row r="336" spans="1:18" x14ac:dyDescent="0.15">
      <c r="A336" s="115" t="s">
        <v>304</v>
      </c>
      <c r="B336" s="116"/>
      <c r="C336" s="116"/>
      <c r="D336" s="116"/>
      <c r="E336" s="736" t="s">
        <v>305</v>
      </c>
      <c r="F336" s="737"/>
      <c r="G336" s="9" t="s">
        <v>306</v>
      </c>
      <c r="H336" s="9" t="s">
        <v>307</v>
      </c>
      <c r="I336" s="10" t="s">
        <v>308</v>
      </c>
      <c r="J336" s="10"/>
      <c r="K336" s="10"/>
      <c r="L336" s="7" t="s">
        <v>309</v>
      </c>
      <c r="M336" s="10"/>
      <c r="N336" s="10"/>
      <c r="O336" s="11"/>
      <c r="P336" s="10" t="s">
        <v>310</v>
      </c>
      <c r="Q336" s="10"/>
      <c r="R336" s="11"/>
    </row>
    <row r="337" spans="1:18" x14ac:dyDescent="0.15">
      <c r="A337" s="119" t="s">
        <v>399</v>
      </c>
      <c r="B337" s="118"/>
      <c r="C337" s="118"/>
      <c r="D337" s="118"/>
      <c r="E337" s="4"/>
      <c r="F337" s="5"/>
      <c r="G337" s="366" t="s">
        <v>427</v>
      </c>
      <c r="H337" s="366">
        <f>IF(条件入力!D8&lt;=300,1,0.7)</f>
        <v>0.7</v>
      </c>
      <c r="I337" s="700">
        <f>労務単価!O51</f>
        <v>27800</v>
      </c>
      <c r="J337" s="701"/>
      <c r="K337" s="702"/>
      <c r="L337" s="700">
        <f>H337*I337</f>
        <v>19460</v>
      </c>
      <c r="M337" s="701"/>
      <c r="N337" s="701"/>
      <c r="O337" s="702"/>
      <c r="P337" s="5"/>
      <c r="Q337" s="5"/>
      <c r="R337" s="6"/>
    </row>
    <row r="338" spans="1:18" x14ac:dyDescent="0.15">
      <c r="A338" s="119" t="s">
        <v>4</v>
      </c>
      <c r="B338" s="118"/>
      <c r="C338" s="118"/>
      <c r="D338" s="118"/>
      <c r="E338" s="4"/>
      <c r="F338" s="5"/>
      <c r="G338" s="366" t="s">
        <v>427</v>
      </c>
      <c r="H338" s="366">
        <f>IF(条件入力!D8&lt;=300,3,2)</f>
        <v>2</v>
      </c>
      <c r="I338" s="700">
        <f>労務単価!D51</f>
        <v>25300</v>
      </c>
      <c r="J338" s="701"/>
      <c r="K338" s="702"/>
      <c r="L338" s="700">
        <f>H338*I338</f>
        <v>50600</v>
      </c>
      <c r="M338" s="701"/>
      <c r="N338" s="701"/>
      <c r="O338" s="702"/>
      <c r="P338" s="5"/>
      <c r="Q338" s="5"/>
      <c r="R338" s="6"/>
    </row>
    <row r="339" spans="1:18" x14ac:dyDescent="0.15">
      <c r="A339" s="119" t="s">
        <v>477</v>
      </c>
      <c r="B339" s="118"/>
      <c r="C339" s="118"/>
      <c r="D339" s="118"/>
      <c r="E339" s="4"/>
      <c r="F339" s="5"/>
      <c r="G339" s="366" t="s">
        <v>427</v>
      </c>
      <c r="H339" s="366">
        <f>IF(条件入力!D8&lt;=300,2,1.5)</f>
        <v>1.5</v>
      </c>
      <c r="I339" s="700">
        <f>労務単価!E51</f>
        <v>20900</v>
      </c>
      <c r="J339" s="701"/>
      <c r="K339" s="702"/>
      <c r="L339" s="700">
        <f>H339*I339</f>
        <v>31350</v>
      </c>
      <c r="M339" s="701"/>
      <c r="N339" s="701"/>
      <c r="O339" s="702"/>
      <c r="P339" s="5"/>
      <c r="Q339" s="5"/>
      <c r="R339" s="6"/>
    </row>
    <row r="340" spans="1:18" x14ac:dyDescent="0.15">
      <c r="A340" s="119" t="s">
        <v>6</v>
      </c>
      <c r="B340" s="118"/>
      <c r="C340" s="118"/>
      <c r="D340" s="118"/>
      <c r="E340" s="4"/>
      <c r="F340" s="5"/>
      <c r="G340" s="366" t="s">
        <v>427</v>
      </c>
      <c r="H340" s="366">
        <f>IF(条件入力!D8&lt;=300,1,0.7)</f>
        <v>0.7</v>
      </c>
      <c r="I340" s="700">
        <f>労務単価!F51</f>
        <v>28600</v>
      </c>
      <c r="J340" s="701"/>
      <c r="K340" s="702"/>
      <c r="L340" s="700">
        <f>H340*I340</f>
        <v>20020</v>
      </c>
      <c r="M340" s="701"/>
      <c r="N340" s="701"/>
      <c r="O340" s="702"/>
      <c r="P340" s="5"/>
      <c r="Q340" s="5"/>
      <c r="R340" s="6"/>
    </row>
    <row r="341" spans="1:18" x14ac:dyDescent="0.15">
      <c r="A341" s="119" t="s">
        <v>401</v>
      </c>
      <c r="B341" s="118"/>
      <c r="C341" s="118"/>
      <c r="D341" s="118"/>
      <c r="E341" s="4" t="str">
        <f>IF(条件入力!D8&lt;600,"4.8～4.9t","10～11t")</f>
        <v>4.8～4.9t</v>
      </c>
      <c r="F341" s="5"/>
      <c r="G341" s="366" t="s">
        <v>195</v>
      </c>
      <c r="H341" s="366">
        <v>1</v>
      </c>
      <c r="I341" s="700">
        <f>IF(条件入力!D8&lt;600,機械単価!D70,機械単価!D71)</f>
        <v>37000</v>
      </c>
      <c r="J341" s="701"/>
      <c r="K341" s="702"/>
      <c r="L341" s="700">
        <f>H341*I341</f>
        <v>37000</v>
      </c>
      <c r="M341" s="701"/>
      <c r="N341" s="701"/>
      <c r="O341" s="702"/>
      <c r="P341" s="5"/>
      <c r="Q341" s="5"/>
      <c r="R341" s="6"/>
    </row>
    <row r="342" spans="1:18" x14ac:dyDescent="0.15">
      <c r="A342" s="119" t="s">
        <v>403</v>
      </c>
      <c r="B342" s="118"/>
      <c r="C342" s="118"/>
      <c r="D342" s="118"/>
      <c r="E342" s="4"/>
      <c r="F342" s="5"/>
      <c r="G342" s="366" t="s">
        <v>322</v>
      </c>
      <c r="H342" s="366">
        <v>1</v>
      </c>
      <c r="I342" s="5"/>
      <c r="J342" s="5"/>
      <c r="K342" s="5"/>
      <c r="L342" s="700">
        <f>ROUND((L337+L338+L340+L339)*0.1,0)</f>
        <v>12143</v>
      </c>
      <c r="M342" s="701"/>
      <c r="N342" s="701"/>
      <c r="O342" s="702"/>
      <c r="P342" s="5" t="s">
        <v>478</v>
      </c>
      <c r="Q342" s="5"/>
      <c r="R342" s="6"/>
    </row>
    <row r="343" spans="1:18" x14ac:dyDescent="0.15">
      <c r="A343" s="119" t="s">
        <v>479</v>
      </c>
      <c r="B343" s="118"/>
      <c r="C343" s="118"/>
      <c r="D343" s="118"/>
      <c r="E343" s="4"/>
      <c r="F343" s="5"/>
      <c r="G343" s="366" t="s">
        <v>322</v>
      </c>
      <c r="H343" s="366">
        <v>1</v>
      </c>
      <c r="I343" s="5"/>
      <c r="J343" s="5"/>
      <c r="K343" s="5"/>
      <c r="L343" s="700">
        <f>L356</f>
        <v>209609</v>
      </c>
      <c r="M343" s="701"/>
      <c r="N343" s="701"/>
      <c r="O343" s="702"/>
      <c r="P343" s="5" t="s">
        <v>480</v>
      </c>
      <c r="Q343" s="5"/>
      <c r="R343" s="6"/>
    </row>
    <row r="344" spans="1:18" x14ac:dyDescent="0.15">
      <c r="A344" s="119" t="s">
        <v>184</v>
      </c>
      <c r="B344" s="118"/>
      <c r="C344" s="118"/>
      <c r="D344" s="118"/>
      <c r="E344" s="4"/>
      <c r="F344" s="5"/>
      <c r="G344" s="8"/>
      <c r="H344" s="8"/>
      <c r="I344" s="5"/>
      <c r="J344" s="5"/>
      <c r="K344" s="5"/>
      <c r="L344" s="700">
        <f>SUM(L337:O343)</f>
        <v>380182</v>
      </c>
      <c r="M344" s="701"/>
      <c r="N344" s="701"/>
      <c r="O344" s="702"/>
      <c r="P344" s="5"/>
      <c r="Q344" s="5"/>
      <c r="R344" s="6"/>
    </row>
    <row r="345" spans="1:18" x14ac:dyDescent="0.15">
      <c r="A345" s="114"/>
      <c r="B345" s="114"/>
      <c r="C345" s="114"/>
      <c r="D345" s="114"/>
    </row>
    <row r="346" spans="1:18" x14ac:dyDescent="0.15">
      <c r="A346" s="114" t="s">
        <v>481</v>
      </c>
      <c r="B346" s="114"/>
      <c r="C346" s="114"/>
      <c r="D346" s="114"/>
      <c r="Q346" s="1" t="s">
        <v>467</v>
      </c>
    </row>
    <row r="347" spans="1:18" x14ac:dyDescent="0.15">
      <c r="A347" s="115" t="s">
        <v>304</v>
      </c>
      <c r="B347" s="116"/>
      <c r="C347" s="116"/>
      <c r="D347" s="116"/>
      <c r="E347" s="736" t="s">
        <v>305</v>
      </c>
      <c r="F347" s="737"/>
      <c r="G347" s="9" t="s">
        <v>306</v>
      </c>
      <c r="H347" s="9" t="s">
        <v>307</v>
      </c>
      <c r="I347" s="10" t="s">
        <v>308</v>
      </c>
      <c r="J347" s="10"/>
      <c r="K347" s="10"/>
      <c r="L347" s="7" t="s">
        <v>309</v>
      </c>
      <c r="M347" s="10"/>
      <c r="N347" s="10"/>
      <c r="O347" s="11"/>
      <c r="P347" s="10" t="s">
        <v>310</v>
      </c>
      <c r="Q347" s="10"/>
      <c r="R347" s="11"/>
    </row>
    <row r="348" spans="1:18" x14ac:dyDescent="0.15">
      <c r="A348" s="119" t="s">
        <v>399</v>
      </c>
      <c r="B348" s="118"/>
      <c r="C348" s="118"/>
      <c r="D348" s="118"/>
      <c r="E348" s="4"/>
      <c r="F348" s="5"/>
      <c r="G348" s="366" t="s">
        <v>427</v>
      </c>
      <c r="H348" s="8">
        <f>IF(条件入力!D8&lt;=300,0.5,0.7)</f>
        <v>0.7</v>
      </c>
      <c r="I348" s="700">
        <f>労務単価!O51</f>
        <v>27800</v>
      </c>
      <c r="J348" s="701"/>
      <c r="K348" s="702"/>
      <c r="L348" s="700">
        <f t="shared" ref="L348:L354" si="5">H348*I348</f>
        <v>19460</v>
      </c>
      <c r="M348" s="701"/>
      <c r="N348" s="701"/>
      <c r="O348" s="702"/>
      <c r="P348" s="5"/>
      <c r="Q348" s="5"/>
      <c r="R348" s="6"/>
    </row>
    <row r="349" spans="1:18" x14ac:dyDescent="0.15">
      <c r="A349" s="119" t="s">
        <v>17</v>
      </c>
      <c r="B349" s="118"/>
      <c r="C349" s="118"/>
      <c r="D349" s="118"/>
      <c r="E349" s="4"/>
      <c r="F349" s="5"/>
      <c r="G349" s="366" t="s">
        <v>427</v>
      </c>
      <c r="H349" s="8">
        <f>IF(条件入力!D8&lt;=300,1,1.5)</f>
        <v>1.5</v>
      </c>
      <c r="I349" s="700">
        <f>労務単価!Q51</f>
        <v>28500</v>
      </c>
      <c r="J349" s="701"/>
      <c r="K349" s="702"/>
      <c r="L349" s="700">
        <f t="shared" si="5"/>
        <v>42750</v>
      </c>
      <c r="M349" s="701"/>
      <c r="N349" s="701"/>
      <c r="O349" s="702"/>
      <c r="P349" s="5"/>
      <c r="Q349" s="5"/>
      <c r="R349" s="6"/>
    </row>
    <row r="350" spans="1:18" x14ac:dyDescent="0.15">
      <c r="A350" s="119" t="s">
        <v>4</v>
      </c>
      <c r="B350" s="118"/>
      <c r="C350" s="118"/>
      <c r="D350" s="118"/>
      <c r="E350" s="4"/>
      <c r="F350" s="5"/>
      <c r="G350" s="366" t="s">
        <v>427</v>
      </c>
      <c r="H350" s="8">
        <f>IF(条件入力!D8&lt;=300,1,1.5)</f>
        <v>1.5</v>
      </c>
      <c r="I350" s="700">
        <f>労務単価!D51</f>
        <v>25300</v>
      </c>
      <c r="J350" s="701"/>
      <c r="K350" s="702"/>
      <c r="L350" s="700">
        <f t="shared" si="5"/>
        <v>37950</v>
      </c>
      <c r="M350" s="701"/>
      <c r="N350" s="701"/>
      <c r="O350" s="702"/>
      <c r="P350" s="5"/>
      <c r="Q350" s="5"/>
      <c r="R350" s="6"/>
    </row>
    <row r="351" spans="1:18" x14ac:dyDescent="0.15">
      <c r="A351" s="119" t="s">
        <v>5</v>
      </c>
      <c r="B351" s="118"/>
      <c r="C351" s="118"/>
      <c r="D351" s="118"/>
      <c r="E351" s="4"/>
      <c r="F351" s="5"/>
      <c r="G351" s="366" t="s">
        <v>427</v>
      </c>
      <c r="H351" s="8">
        <f>IF(条件入力!D8&lt;=300,0.5,0.7)</f>
        <v>0.7</v>
      </c>
      <c r="I351" s="700">
        <f>労務単価!E51</f>
        <v>20900</v>
      </c>
      <c r="J351" s="701"/>
      <c r="K351" s="702"/>
      <c r="L351" s="700">
        <f t="shared" si="5"/>
        <v>14629.999999999998</v>
      </c>
      <c r="M351" s="701"/>
      <c r="N351" s="701"/>
      <c r="O351" s="702"/>
      <c r="P351" s="5"/>
      <c r="Q351" s="5"/>
      <c r="R351" s="6"/>
    </row>
    <row r="352" spans="1:18" x14ac:dyDescent="0.15">
      <c r="A352" s="119" t="s">
        <v>401</v>
      </c>
      <c r="B352" s="118"/>
      <c r="C352" s="118"/>
      <c r="D352" s="118"/>
      <c r="E352" s="4"/>
      <c r="F352" s="5"/>
      <c r="G352" s="366" t="s">
        <v>195</v>
      </c>
      <c r="H352" s="8">
        <f>IF(条件入力!D8&lt;=300,1,1.5)</f>
        <v>1.5</v>
      </c>
      <c r="I352" s="700">
        <f>IF(条件入力!D18=1,機械単価!D70,IF(条件入力!D8&lt;=300,機械単価!D70,機械単価!D71))</f>
        <v>41000</v>
      </c>
      <c r="J352" s="701"/>
      <c r="K352" s="702"/>
      <c r="L352" s="700">
        <f t="shared" si="5"/>
        <v>61500</v>
      </c>
      <c r="M352" s="701"/>
      <c r="N352" s="701"/>
      <c r="O352" s="702"/>
      <c r="P352" s="5"/>
      <c r="Q352" s="5"/>
      <c r="R352" s="6"/>
    </row>
    <row r="353" spans="1:18" x14ac:dyDescent="0.15">
      <c r="A353" s="119" t="s">
        <v>482</v>
      </c>
      <c r="B353" s="118"/>
      <c r="C353" s="118"/>
      <c r="D353" s="118"/>
      <c r="E353" s="4" t="s">
        <v>483</v>
      </c>
      <c r="F353" s="5"/>
      <c r="G353" s="366" t="s">
        <v>444</v>
      </c>
      <c r="H353" s="8">
        <v>0.5</v>
      </c>
      <c r="I353" s="700">
        <f>ROUND(機械単価!H75*0.2,0)</f>
        <v>8400</v>
      </c>
      <c r="J353" s="701"/>
      <c r="K353" s="702"/>
      <c r="L353" s="700">
        <f t="shared" si="5"/>
        <v>4200</v>
      </c>
      <c r="M353" s="701"/>
      <c r="N353" s="701"/>
      <c r="O353" s="702"/>
      <c r="P353" s="5"/>
      <c r="Q353" s="5"/>
      <c r="R353" s="6"/>
    </row>
    <row r="354" spans="1:18" x14ac:dyDescent="0.15">
      <c r="A354" s="119" t="s">
        <v>484</v>
      </c>
      <c r="B354" s="118"/>
      <c r="C354" s="118"/>
      <c r="D354" s="118"/>
      <c r="E354" s="4"/>
      <c r="F354" s="5"/>
      <c r="G354" s="366" t="s">
        <v>322</v>
      </c>
      <c r="H354" s="8">
        <v>1</v>
      </c>
      <c r="I354" s="700">
        <f>IF(条件入力!D8=250,11940,IF(条件入力!D8=300,13020,IF(条件入力!D8=350,16740,IF(条件入力!D8=400,17640,IF(条件入力!D8=450,19980,16680)))))</f>
        <v>17640</v>
      </c>
      <c r="J354" s="701"/>
      <c r="K354" s="702"/>
      <c r="L354" s="700">
        <f t="shared" si="5"/>
        <v>17640</v>
      </c>
      <c r="M354" s="701"/>
      <c r="N354" s="701"/>
      <c r="O354" s="702"/>
      <c r="P354" s="5"/>
      <c r="Q354" s="5"/>
      <c r="R354" s="6"/>
    </row>
    <row r="355" spans="1:18" x14ac:dyDescent="0.15">
      <c r="A355" s="119" t="s">
        <v>485</v>
      </c>
      <c r="B355" s="118"/>
      <c r="C355" s="118"/>
      <c r="D355" s="118"/>
      <c r="E355" s="4"/>
      <c r="F355" s="5"/>
      <c r="G355" s="366" t="s">
        <v>322</v>
      </c>
      <c r="H355" s="8">
        <v>1</v>
      </c>
      <c r="I355" s="700"/>
      <c r="J355" s="701"/>
      <c r="K355" s="702"/>
      <c r="L355" s="700">
        <f>ROUND((L348+L349+L350+L351)*0.1,0)</f>
        <v>11479</v>
      </c>
      <c r="M355" s="701"/>
      <c r="N355" s="701"/>
      <c r="O355" s="702"/>
      <c r="P355" s="5"/>
      <c r="Q355" s="5"/>
      <c r="R355" s="6"/>
    </row>
    <row r="356" spans="1:18" x14ac:dyDescent="0.15">
      <c r="A356" s="119" t="s">
        <v>184</v>
      </c>
      <c r="B356" s="118"/>
      <c r="C356" s="118"/>
      <c r="D356" s="118"/>
      <c r="E356" s="4"/>
      <c r="F356" s="5"/>
      <c r="G356" s="8"/>
      <c r="H356" s="8"/>
      <c r="I356" s="5"/>
      <c r="J356" s="5"/>
      <c r="K356" s="5"/>
      <c r="L356" s="700">
        <f>SUM(L348:O355)</f>
        <v>209609</v>
      </c>
      <c r="M356" s="701"/>
      <c r="N356" s="701"/>
      <c r="O356" s="702"/>
      <c r="P356" s="5"/>
      <c r="Q356" s="5"/>
      <c r="R356" s="6"/>
    </row>
    <row r="357" spans="1:18" x14ac:dyDescent="0.15">
      <c r="A357" s="114"/>
      <c r="B357" s="114"/>
      <c r="C357" s="114"/>
      <c r="D357" s="114"/>
    </row>
    <row r="358" spans="1:18" x14ac:dyDescent="0.15">
      <c r="A358" s="114"/>
      <c r="B358" s="114"/>
      <c r="C358" s="114"/>
      <c r="D358" s="114"/>
    </row>
    <row r="359" spans="1:18" x14ac:dyDescent="0.15">
      <c r="A359" s="114" t="s">
        <v>486</v>
      </c>
      <c r="B359" s="114"/>
      <c r="C359" s="114"/>
      <c r="D359" s="114"/>
      <c r="Q359" s="14" t="s">
        <v>487</v>
      </c>
    </row>
    <row r="360" spans="1:18" x14ac:dyDescent="0.15">
      <c r="A360" s="115" t="s">
        <v>304</v>
      </c>
      <c r="B360" s="116"/>
      <c r="C360" s="116"/>
      <c r="D360" s="116"/>
      <c r="E360" s="736" t="s">
        <v>305</v>
      </c>
      <c r="F360" s="737"/>
      <c r="G360" s="9" t="s">
        <v>306</v>
      </c>
      <c r="H360" s="9" t="s">
        <v>307</v>
      </c>
      <c r="I360" s="10" t="s">
        <v>308</v>
      </c>
      <c r="J360" s="10"/>
      <c r="K360" s="10"/>
      <c r="L360" s="7" t="s">
        <v>309</v>
      </c>
      <c r="M360" s="10"/>
      <c r="N360" s="10"/>
      <c r="O360" s="11"/>
      <c r="P360" s="10" t="s">
        <v>310</v>
      </c>
      <c r="Q360" s="10"/>
      <c r="R360" s="11"/>
    </row>
    <row r="361" spans="1:18" x14ac:dyDescent="0.15">
      <c r="A361" s="119" t="s">
        <v>488</v>
      </c>
      <c r="B361" s="118"/>
      <c r="C361" s="118"/>
      <c r="D361" s="118"/>
      <c r="E361" s="4"/>
      <c r="F361" s="5"/>
      <c r="G361" s="366" t="s">
        <v>137</v>
      </c>
      <c r="H361" s="366">
        <f>IF(条件入力!D8=250,2.5,IF(条件入力!D8=300,3,IF(条件入力!D8=350,3,IF(条件入力!D8=400,3.5,IF(条件入力!D8=450,3.5,IF(条件入力!D8=500,4,IF(条件入力!D8=600,4.5,6)))))))</f>
        <v>3.5</v>
      </c>
      <c r="I361" s="700">
        <f>L370</f>
        <v>2246</v>
      </c>
      <c r="J361" s="701"/>
      <c r="K361" s="702"/>
      <c r="L361" s="700">
        <f>ROUND(H361*I361,0)</f>
        <v>7861</v>
      </c>
      <c r="M361" s="701"/>
      <c r="N361" s="701"/>
      <c r="O361" s="702"/>
      <c r="P361" s="5" t="s">
        <v>489</v>
      </c>
      <c r="Q361" s="5"/>
      <c r="R361" s="6"/>
    </row>
    <row r="362" spans="1:18" x14ac:dyDescent="0.15">
      <c r="A362" s="119" t="s">
        <v>184</v>
      </c>
      <c r="B362" s="118"/>
      <c r="C362" s="118"/>
      <c r="D362" s="118"/>
      <c r="E362" s="4"/>
      <c r="F362" s="5"/>
      <c r="G362" s="8"/>
      <c r="H362" s="8"/>
      <c r="I362" s="5"/>
      <c r="J362" s="5"/>
      <c r="K362" s="5"/>
      <c r="L362" s="700">
        <f>SUM(L361)</f>
        <v>7861</v>
      </c>
      <c r="M362" s="701"/>
      <c r="N362" s="701"/>
      <c r="O362" s="702"/>
      <c r="P362" s="5"/>
      <c r="Q362" s="5"/>
      <c r="R362" s="6"/>
    </row>
    <row r="363" spans="1:18" x14ac:dyDescent="0.15">
      <c r="A363" s="114"/>
      <c r="B363" s="114"/>
      <c r="C363" s="114"/>
      <c r="D363" s="114"/>
    </row>
    <row r="364" spans="1:18" x14ac:dyDescent="0.15">
      <c r="A364" s="114" t="s">
        <v>490</v>
      </c>
      <c r="B364" s="114"/>
      <c r="C364" s="114"/>
      <c r="D364" s="114"/>
      <c r="Q364" s="1" t="s">
        <v>395</v>
      </c>
    </row>
    <row r="365" spans="1:18" x14ac:dyDescent="0.15">
      <c r="A365" s="115" t="s">
        <v>304</v>
      </c>
      <c r="B365" s="116"/>
      <c r="C365" s="116"/>
      <c r="D365" s="116"/>
      <c r="E365" s="736" t="s">
        <v>305</v>
      </c>
      <c r="F365" s="737"/>
      <c r="G365" s="9" t="s">
        <v>306</v>
      </c>
      <c r="H365" s="9" t="s">
        <v>307</v>
      </c>
      <c r="I365" s="10" t="s">
        <v>308</v>
      </c>
      <c r="J365" s="10"/>
      <c r="K365" s="10"/>
      <c r="L365" s="7" t="s">
        <v>309</v>
      </c>
      <c r="M365" s="10"/>
      <c r="N365" s="10"/>
      <c r="O365" s="11"/>
      <c r="P365" s="10" t="s">
        <v>310</v>
      </c>
      <c r="Q365" s="10"/>
      <c r="R365" s="11"/>
    </row>
    <row r="366" spans="1:18" x14ac:dyDescent="0.15">
      <c r="A366" s="119" t="s">
        <v>399</v>
      </c>
      <c r="B366" s="118"/>
      <c r="C366" s="118"/>
      <c r="D366" s="118"/>
      <c r="E366" s="4"/>
      <c r="F366" s="5"/>
      <c r="G366" s="366" t="s">
        <v>427</v>
      </c>
      <c r="H366" s="8">
        <f>IF(条件入力!D19=1,0.007,IF(条件入力!D19=2,0.008,IF(条件入力!D19=3,0.006,0.008)))</f>
        <v>8.0000000000000002E-3</v>
      </c>
      <c r="I366" s="700">
        <f>労務単価!O51</f>
        <v>27800</v>
      </c>
      <c r="J366" s="701"/>
      <c r="K366" s="702"/>
      <c r="L366" s="700">
        <f>ROUND(H366*I366,0)</f>
        <v>222</v>
      </c>
      <c r="M366" s="701"/>
      <c r="N366" s="701"/>
      <c r="O366" s="702"/>
      <c r="P366" s="5"/>
      <c r="Q366" s="5"/>
      <c r="R366" s="6"/>
    </row>
    <row r="367" spans="1:18" x14ac:dyDescent="0.15">
      <c r="A367" s="119" t="s">
        <v>9</v>
      </c>
      <c r="B367" s="118"/>
      <c r="C367" s="118"/>
      <c r="D367" s="118"/>
      <c r="E367" s="4"/>
      <c r="F367" s="5"/>
      <c r="G367" s="366" t="s">
        <v>427</v>
      </c>
      <c r="H367" s="8">
        <f>IF(条件入力!D19=1,0.057,IF(条件入力!D19=2,0.059,IF(条件入力!D19=3,0.051,0.022)))</f>
        <v>2.1999999999999999E-2</v>
      </c>
      <c r="I367" s="700">
        <f>労務単価!I51</f>
        <v>31100</v>
      </c>
      <c r="J367" s="701"/>
      <c r="K367" s="702"/>
      <c r="L367" s="700">
        <f>ROUND(H367*I367,0)</f>
        <v>684</v>
      </c>
      <c r="M367" s="701"/>
      <c r="N367" s="701"/>
      <c r="O367" s="702"/>
      <c r="P367" s="5"/>
      <c r="Q367" s="5"/>
      <c r="R367" s="6"/>
    </row>
    <row r="368" spans="1:18" x14ac:dyDescent="0.15">
      <c r="A368" s="119" t="s">
        <v>5</v>
      </c>
      <c r="B368" s="118"/>
      <c r="C368" s="118"/>
      <c r="D368" s="118"/>
      <c r="E368" s="4"/>
      <c r="F368" s="5"/>
      <c r="G368" s="366" t="s">
        <v>427</v>
      </c>
      <c r="H368" s="8">
        <f>IF(条件入力!D19=1,0.022,IF(条件入力!D19=2,0.022,IF(条件入力!D19=3,0.019,0.059)))</f>
        <v>5.8999999999999997E-2</v>
      </c>
      <c r="I368" s="700">
        <f>労務単価!E51</f>
        <v>20900</v>
      </c>
      <c r="J368" s="701"/>
      <c r="K368" s="702"/>
      <c r="L368" s="700">
        <f>ROUND(H368*I368,0)</f>
        <v>1233</v>
      </c>
      <c r="M368" s="701"/>
      <c r="N368" s="701"/>
      <c r="O368" s="702"/>
      <c r="P368" s="5"/>
      <c r="Q368" s="5"/>
      <c r="R368" s="6"/>
    </row>
    <row r="369" spans="1:18" x14ac:dyDescent="0.15">
      <c r="A369" s="119" t="s">
        <v>403</v>
      </c>
      <c r="B369" s="118"/>
      <c r="C369" s="118"/>
      <c r="D369" s="118"/>
      <c r="E369" s="4"/>
      <c r="F369" s="5"/>
      <c r="G369" s="366" t="s">
        <v>322</v>
      </c>
      <c r="H369" s="366">
        <v>1</v>
      </c>
      <c r="I369" s="5"/>
      <c r="J369" s="5"/>
      <c r="K369" s="5"/>
      <c r="L369" s="700">
        <f>IF(条件入力!D19=4,ROUND((L366+L367+L368)*0.05,0),ROUND((L366+L367+L368)*0.1,0))</f>
        <v>107</v>
      </c>
      <c r="M369" s="701"/>
      <c r="N369" s="701"/>
      <c r="O369" s="702"/>
      <c r="P369" s="5"/>
      <c r="Q369" s="5"/>
      <c r="R369" s="6"/>
    </row>
    <row r="370" spans="1:18" x14ac:dyDescent="0.15">
      <c r="A370" s="119" t="s">
        <v>184</v>
      </c>
      <c r="B370" s="118"/>
      <c r="C370" s="118"/>
      <c r="D370" s="118"/>
      <c r="E370" s="4"/>
      <c r="F370" s="5"/>
      <c r="G370" s="8"/>
      <c r="H370" s="8"/>
      <c r="I370" s="5"/>
      <c r="J370" s="5"/>
      <c r="K370" s="5"/>
      <c r="L370" s="700">
        <f>SUM(L366:O369)</f>
        <v>2246</v>
      </c>
      <c r="M370" s="701"/>
      <c r="N370" s="701"/>
      <c r="O370" s="702"/>
      <c r="P370" s="5"/>
      <c r="Q370" s="5"/>
      <c r="R370" s="6"/>
    </row>
    <row r="371" spans="1:18" x14ac:dyDescent="0.15">
      <c r="A371" s="114"/>
      <c r="B371" s="114"/>
      <c r="C371" s="114"/>
      <c r="D371" s="114"/>
    </row>
    <row r="372" spans="1:18" x14ac:dyDescent="0.15">
      <c r="A372" s="114"/>
      <c r="B372" s="114"/>
      <c r="C372" s="114"/>
      <c r="D372" s="114"/>
    </row>
    <row r="373" spans="1:18" x14ac:dyDescent="0.15">
      <c r="A373" s="114"/>
      <c r="B373" s="114"/>
      <c r="C373" s="114"/>
      <c r="D373" s="114"/>
    </row>
    <row r="374" spans="1:18" x14ac:dyDescent="0.15">
      <c r="A374" s="114"/>
      <c r="B374" s="114"/>
      <c r="C374" s="114"/>
      <c r="D374" s="114"/>
    </row>
    <row r="375" spans="1:18" x14ac:dyDescent="0.15">
      <c r="A375" s="114" t="s">
        <v>491</v>
      </c>
      <c r="B375" s="114"/>
      <c r="C375" s="114"/>
      <c r="D375" s="114"/>
      <c r="Q375" s="14" t="s">
        <v>442</v>
      </c>
    </row>
    <row r="376" spans="1:18" x14ac:dyDescent="0.15">
      <c r="A376" s="115" t="s">
        <v>304</v>
      </c>
      <c r="B376" s="116"/>
      <c r="C376" s="116"/>
      <c r="D376" s="116"/>
      <c r="E376" s="736" t="s">
        <v>305</v>
      </c>
      <c r="F376" s="737"/>
      <c r="G376" s="9" t="s">
        <v>306</v>
      </c>
      <c r="H376" s="9" t="s">
        <v>307</v>
      </c>
      <c r="I376" s="10" t="s">
        <v>308</v>
      </c>
      <c r="J376" s="10"/>
      <c r="K376" s="10"/>
      <c r="L376" s="7" t="s">
        <v>309</v>
      </c>
      <c r="M376" s="10"/>
      <c r="N376" s="10"/>
      <c r="O376" s="11"/>
      <c r="P376" s="10" t="s">
        <v>310</v>
      </c>
      <c r="Q376" s="10"/>
      <c r="R376" s="11"/>
    </row>
    <row r="377" spans="1:18" x14ac:dyDescent="0.15">
      <c r="A377" s="119" t="s">
        <v>399</v>
      </c>
      <c r="B377" s="118"/>
      <c r="C377" s="118"/>
      <c r="D377" s="118"/>
      <c r="E377" s="4"/>
      <c r="F377" s="5"/>
      <c r="G377" s="366" t="s">
        <v>427</v>
      </c>
      <c r="H377" s="366">
        <v>0.7</v>
      </c>
      <c r="I377" s="700">
        <f>労務単価!O51</f>
        <v>27800</v>
      </c>
      <c r="J377" s="701"/>
      <c r="K377" s="702"/>
      <c r="L377" s="700">
        <f t="shared" ref="L377:L382" si="6">H377*I377</f>
        <v>19460</v>
      </c>
      <c r="M377" s="701"/>
      <c r="N377" s="701"/>
      <c r="O377" s="702"/>
      <c r="P377" s="5"/>
      <c r="Q377" s="5"/>
      <c r="R377" s="6"/>
    </row>
    <row r="378" spans="1:18" x14ac:dyDescent="0.15">
      <c r="A378" s="119" t="s">
        <v>9</v>
      </c>
      <c r="B378" s="118"/>
      <c r="C378" s="118"/>
      <c r="D378" s="118"/>
      <c r="E378" s="4"/>
      <c r="F378" s="5"/>
      <c r="G378" s="366" t="s">
        <v>427</v>
      </c>
      <c r="H378" s="366">
        <v>0.7</v>
      </c>
      <c r="I378" s="700">
        <f>労務単価!I51</f>
        <v>31100</v>
      </c>
      <c r="J378" s="701"/>
      <c r="K378" s="702"/>
      <c r="L378" s="700">
        <f t="shared" si="6"/>
        <v>21770</v>
      </c>
      <c r="M378" s="701"/>
      <c r="N378" s="701"/>
      <c r="O378" s="702"/>
      <c r="P378" s="5"/>
      <c r="Q378" s="5"/>
      <c r="R378" s="6"/>
    </row>
    <row r="379" spans="1:18" x14ac:dyDescent="0.15">
      <c r="A379" s="119" t="s">
        <v>6</v>
      </c>
      <c r="B379" s="118"/>
      <c r="C379" s="118"/>
      <c r="D379" s="118"/>
      <c r="E379" s="4"/>
      <c r="F379" s="5"/>
      <c r="G379" s="366" t="s">
        <v>427</v>
      </c>
      <c r="H379" s="366">
        <v>0.7</v>
      </c>
      <c r="I379" s="700">
        <f>労務単価!F51</f>
        <v>28600</v>
      </c>
      <c r="J379" s="701"/>
      <c r="K379" s="702"/>
      <c r="L379" s="700">
        <f t="shared" si="6"/>
        <v>20020</v>
      </c>
      <c r="M379" s="701"/>
      <c r="N379" s="701"/>
      <c r="O379" s="702"/>
      <c r="P379" s="5"/>
      <c r="Q379" s="5"/>
      <c r="R379" s="6"/>
    </row>
    <row r="380" spans="1:18" x14ac:dyDescent="0.15">
      <c r="A380" s="119" t="s">
        <v>7</v>
      </c>
      <c r="B380" s="118"/>
      <c r="C380" s="118"/>
      <c r="D380" s="118"/>
      <c r="E380" s="4"/>
      <c r="F380" s="5"/>
      <c r="G380" s="366" t="s">
        <v>427</v>
      </c>
      <c r="H380" s="366">
        <v>0.35</v>
      </c>
      <c r="I380" s="700">
        <f>労務単価!G51</f>
        <v>27600</v>
      </c>
      <c r="J380" s="701"/>
      <c r="K380" s="702"/>
      <c r="L380" s="700">
        <f t="shared" si="6"/>
        <v>9660</v>
      </c>
      <c r="M380" s="701"/>
      <c r="N380" s="701"/>
      <c r="O380" s="702"/>
      <c r="P380" s="5"/>
      <c r="Q380" s="5"/>
      <c r="R380" s="6"/>
    </row>
    <row r="381" spans="1:18" x14ac:dyDescent="0.15">
      <c r="A381" s="119" t="s">
        <v>5</v>
      </c>
      <c r="B381" s="118"/>
      <c r="C381" s="118"/>
      <c r="D381" s="118"/>
      <c r="E381" s="4"/>
      <c r="F381" s="5"/>
      <c r="G381" s="366" t="s">
        <v>427</v>
      </c>
      <c r="H381" s="366">
        <v>1.4</v>
      </c>
      <c r="I381" s="700">
        <f>労務単価!E51</f>
        <v>20900</v>
      </c>
      <c r="J381" s="701"/>
      <c r="K381" s="702"/>
      <c r="L381" s="700">
        <f t="shared" si="6"/>
        <v>29259.999999999996</v>
      </c>
      <c r="M381" s="701"/>
      <c r="N381" s="701"/>
      <c r="O381" s="702"/>
      <c r="P381" s="5"/>
      <c r="Q381" s="5"/>
      <c r="R381" s="6"/>
    </row>
    <row r="382" spans="1:18" x14ac:dyDescent="0.15">
      <c r="A382" s="119" t="s">
        <v>401</v>
      </c>
      <c r="B382" s="118"/>
      <c r="C382" s="118"/>
      <c r="D382" s="118"/>
      <c r="E382" s="4" t="s">
        <v>402</v>
      </c>
      <c r="F382" s="5"/>
      <c r="G382" s="366" t="s">
        <v>195</v>
      </c>
      <c r="H382" s="366">
        <v>0.35</v>
      </c>
      <c r="I382" s="700">
        <f>機械単価!D70</f>
        <v>37000</v>
      </c>
      <c r="J382" s="701"/>
      <c r="K382" s="702"/>
      <c r="L382" s="700">
        <f t="shared" si="6"/>
        <v>12950</v>
      </c>
      <c r="M382" s="701"/>
      <c r="N382" s="701"/>
      <c r="O382" s="702"/>
      <c r="P382" s="5"/>
      <c r="Q382" s="5"/>
      <c r="R382" s="6"/>
    </row>
    <row r="383" spans="1:18" x14ac:dyDescent="0.15">
      <c r="A383" s="119" t="s">
        <v>184</v>
      </c>
      <c r="B383" s="118"/>
      <c r="C383" s="118"/>
      <c r="D383" s="118"/>
      <c r="E383" s="4"/>
      <c r="F383" s="5"/>
      <c r="G383" s="8"/>
      <c r="H383" s="8"/>
      <c r="I383" s="5"/>
      <c r="J383" s="5"/>
      <c r="K383" s="5"/>
      <c r="L383" s="700">
        <f>SUM(L377:O382)</f>
        <v>113120</v>
      </c>
      <c r="M383" s="701"/>
      <c r="N383" s="701"/>
      <c r="O383" s="702"/>
      <c r="P383" s="5"/>
      <c r="Q383" s="5"/>
      <c r="R383" s="6"/>
    </row>
    <row r="384" spans="1:18" x14ac:dyDescent="0.15">
      <c r="A384" s="114"/>
      <c r="B384" s="114"/>
      <c r="C384" s="114"/>
      <c r="D384" s="114"/>
    </row>
    <row r="385" spans="1:18" x14ac:dyDescent="0.15">
      <c r="A385" s="114"/>
      <c r="B385" s="114"/>
      <c r="C385" s="114"/>
      <c r="D385" s="114"/>
    </row>
    <row r="386" spans="1:18" x14ac:dyDescent="0.15">
      <c r="A386" s="114" t="s">
        <v>492</v>
      </c>
      <c r="B386" s="114"/>
      <c r="C386" s="114"/>
      <c r="D386" s="114"/>
      <c r="Q386" s="1" t="s">
        <v>493</v>
      </c>
    </row>
    <row r="387" spans="1:18" x14ac:dyDescent="0.15">
      <c r="A387" s="115" t="s">
        <v>304</v>
      </c>
      <c r="B387" s="116"/>
      <c r="C387" s="116"/>
      <c r="D387" s="116"/>
      <c r="E387" s="736" t="s">
        <v>305</v>
      </c>
      <c r="F387" s="737"/>
      <c r="G387" s="9" t="s">
        <v>306</v>
      </c>
      <c r="H387" s="9" t="s">
        <v>307</v>
      </c>
      <c r="I387" s="10" t="s">
        <v>308</v>
      </c>
      <c r="J387" s="10"/>
      <c r="K387" s="10"/>
      <c r="L387" s="7" t="s">
        <v>309</v>
      </c>
      <c r="M387" s="10"/>
      <c r="N387" s="10"/>
      <c r="O387" s="11"/>
      <c r="P387" s="10" t="s">
        <v>310</v>
      </c>
      <c r="Q387" s="10"/>
      <c r="R387" s="11"/>
    </row>
    <row r="388" spans="1:18" x14ac:dyDescent="0.15">
      <c r="A388" s="119" t="s">
        <v>494</v>
      </c>
      <c r="B388" s="118"/>
      <c r="C388" s="118"/>
      <c r="D388" s="118"/>
      <c r="E388" s="4"/>
      <c r="F388" s="5"/>
      <c r="G388" s="366" t="s">
        <v>217</v>
      </c>
      <c r="H388" s="366">
        <f>条件入力!N26</f>
        <v>0</v>
      </c>
      <c r="I388" s="700">
        <f>L398</f>
        <v>328320</v>
      </c>
      <c r="J388" s="701"/>
      <c r="K388" s="702"/>
      <c r="L388" s="700">
        <f>H388*I388</f>
        <v>0</v>
      </c>
      <c r="M388" s="701"/>
      <c r="N388" s="701"/>
      <c r="O388" s="702"/>
      <c r="P388" s="5"/>
      <c r="Q388" s="5"/>
      <c r="R388" s="6"/>
    </row>
    <row r="389" spans="1:18" x14ac:dyDescent="0.15">
      <c r="A389" s="119" t="s">
        <v>184</v>
      </c>
      <c r="B389" s="118"/>
      <c r="C389" s="118"/>
      <c r="D389" s="118"/>
      <c r="E389" s="4"/>
      <c r="F389" s="5"/>
      <c r="G389" s="8"/>
      <c r="H389" s="8"/>
      <c r="I389" s="5"/>
      <c r="J389" s="5"/>
      <c r="K389" s="5"/>
      <c r="L389" s="700">
        <f>SUM(L388)</f>
        <v>0</v>
      </c>
      <c r="M389" s="701"/>
      <c r="N389" s="701"/>
      <c r="O389" s="702"/>
      <c r="P389" s="5"/>
      <c r="Q389" s="5"/>
      <c r="R389" s="6"/>
    </row>
    <row r="390" spans="1:18" x14ac:dyDescent="0.15">
      <c r="A390" s="114"/>
      <c r="B390" s="114"/>
      <c r="C390" s="114"/>
      <c r="D390" s="114"/>
    </row>
    <row r="391" spans="1:18" x14ac:dyDescent="0.15">
      <c r="A391" s="114" t="s">
        <v>495</v>
      </c>
      <c r="B391" s="114"/>
      <c r="C391" s="114"/>
      <c r="D391" s="114"/>
      <c r="Q391" s="1" t="s">
        <v>462</v>
      </c>
    </row>
    <row r="392" spans="1:18" x14ac:dyDescent="0.15">
      <c r="A392" s="115" t="s">
        <v>304</v>
      </c>
      <c r="B392" s="116"/>
      <c r="C392" s="116"/>
      <c r="D392" s="116"/>
      <c r="E392" s="736" t="s">
        <v>305</v>
      </c>
      <c r="F392" s="737"/>
      <c r="G392" s="9" t="s">
        <v>306</v>
      </c>
      <c r="H392" s="9" t="s">
        <v>307</v>
      </c>
      <c r="I392" s="10" t="s">
        <v>308</v>
      </c>
      <c r="J392" s="10"/>
      <c r="K392" s="10"/>
      <c r="L392" s="7" t="s">
        <v>309</v>
      </c>
      <c r="M392" s="10"/>
      <c r="N392" s="10"/>
      <c r="O392" s="11"/>
      <c r="P392" s="10" t="s">
        <v>310</v>
      </c>
      <c r="Q392" s="10"/>
      <c r="R392" s="11"/>
    </row>
    <row r="393" spans="1:18" x14ac:dyDescent="0.15">
      <c r="A393" s="119" t="s">
        <v>399</v>
      </c>
      <c r="B393" s="118"/>
      <c r="C393" s="118"/>
      <c r="D393" s="121"/>
      <c r="E393" s="5"/>
      <c r="F393" s="5"/>
      <c r="G393" s="366" t="s">
        <v>427</v>
      </c>
      <c r="H393" s="366">
        <v>1.5</v>
      </c>
      <c r="I393" s="700">
        <f>労務単価!O51</f>
        <v>27800</v>
      </c>
      <c r="J393" s="701"/>
      <c r="K393" s="702"/>
      <c r="L393" s="700">
        <f>H393*I393</f>
        <v>41700</v>
      </c>
      <c r="M393" s="701"/>
      <c r="N393" s="701"/>
      <c r="O393" s="702"/>
      <c r="P393" s="5"/>
      <c r="Q393" s="5"/>
      <c r="R393" s="6"/>
    </row>
    <row r="394" spans="1:18" x14ac:dyDescent="0.15">
      <c r="A394" s="119" t="s">
        <v>4</v>
      </c>
      <c r="B394" s="118"/>
      <c r="C394" s="118"/>
      <c r="D394" s="121"/>
      <c r="E394" s="5"/>
      <c r="F394" s="5"/>
      <c r="G394" s="366" t="s">
        <v>427</v>
      </c>
      <c r="H394" s="366">
        <v>3</v>
      </c>
      <c r="I394" s="700">
        <f>労務単価!D51</f>
        <v>25300</v>
      </c>
      <c r="J394" s="701"/>
      <c r="K394" s="702"/>
      <c r="L394" s="700">
        <f>H394*I394</f>
        <v>75900</v>
      </c>
      <c r="M394" s="701"/>
      <c r="N394" s="701"/>
      <c r="O394" s="702"/>
      <c r="P394" s="5"/>
      <c r="Q394" s="5"/>
      <c r="R394" s="6"/>
    </row>
    <row r="395" spans="1:18" x14ac:dyDescent="0.15">
      <c r="A395" s="119" t="s">
        <v>9</v>
      </c>
      <c r="B395" s="118"/>
      <c r="C395" s="118"/>
      <c r="D395" s="121"/>
      <c r="E395" s="5"/>
      <c r="F395" s="5"/>
      <c r="G395" s="366" t="s">
        <v>427</v>
      </c>
      <c r="H395" s="366">
        <v>3</v>
      </c>
      <c r="I395" s="700">
        <f>労務単価!I51</f>
        <v>31100</v>
      </c>
      <c r="J395" s="701"/>
      <c r="K395" s="702"/>
      <c r="L395" s="700">
        <f>H395*I395</f>
        <v>93300</v>
      </c>
      <c r="M395" s="701"/>
      <c r="N395" s="701"/>
      <c r="O395" s="702"/>
      <c r="P395" s="5"/>
      <c r="Q395" s="5"/>
      <c r="R395" s="6"/>
    </row>
    <row r="396" spans="1:18" x14ac:dyDescent="0.15">
      <c r="A396" s="119" t="s">
        <v>5</v>
      </c>
      <c r="B396" s="118"/>
      <c r="C396" s="118"/>
      <c r="D396" s="121"/>
      <c r="E396" s="5"/>
      <c r="F396" s="5"/>
      <c r="G396" s="366" t="s">
        <v>427</v>
      </c>
      <c r="H396" s="366">
        <v>3</v>
      </c>
      <c r="I396" s="700">
        <f>労務単価!E51</f>
        <v>20900</v>
      </c>
      <c r="J396" s="701"/>
      <c r="K396" s="702"/>
      <c r="L396" s="700">
        <f>H396*I396</f>
        <v>62700</v>
      </c>
      <c r="M396" s="701"/>
      <c r="N396" s="701"/>
      <c r="O396" s="702"/>
      <c r="P396" s="5"/>
      <c r="Q396" s="5"/>
      <c r="R396" s="6"/>
    </row>
    <row r="397" spans="1:18" x14ac:dyDescent="0.15">
      <c r="A397" s="119" t="s">
        <v>496</v>
      </c>
      <c r="B397" s="118"/>
      <c r="C397" s="118"/>
      <c r="D397" s="121"/>
      <c r="E397" s="5"/>
      <c r="F397" s="5"/>
      <c r="G397" s="366" t="s">
        <v>322</v>
      </c>
      <c r="H397" s="366">
        <v>1</v>
      </c>
      <c r="I397" s="700"/>
      <c r="J397" s="701"/>
      <c r="K397" s="702"/>
      <c r="L397" s="700">
        <f>ROUND((L393+L394+L395+L396)*0.2,0)</f>
        <v>54720</v>
      </c>
      <c r="M397" s="701"/>
      <c r="N397" s="701"/>
      <c r="O397" s="702"/>
      <c r="P397" s="5" t="s">
        <v>497</v>
      </c>
      <c r="Q397" s="5"/>
      <c r="R397" s="6"/>
    </row>
    <row r="398" spans="1:18" x14ac:dyDescent="0.15">
      <c r="A398" s="119" t="s">
        <v>184</v>
      </c>
      <c r="B398" s="118"/>
      <c r="C398" s="118"/>
      <c r="D398" s="121"/>
      <c r="E398" s="5"/>
      <c r="F398" s="5"/>
      <c r="G398" s="8"/>
      <c r="H398" s="8"/>
      <c r="I398" s="5"/>
      <c r="J398" s="5"/>
      <c r="K398" s="6"/>
      <c r="L398" s="700">
        <f>SUM(L393:O397)</f>
        <v>328320</v>
      </c>
      <c r="M398" s="701"/>
      <c r="N398" s="701"/>
      <c r="O398" s="702"/>
      <c r="P398" s="5"/>
      <c r="Q398" s="5"/>
      <c r="R398" s="6"/>
    </row>
    <row r="399" spans="1:18" x14ac:dyDescent="0.15">
      <c r="A399" s="114"/>
      <c r="B399" s="114"/>
      <c r="C399" s="114"/>
      <c r="D399" s="114"/>
    </row>
    <row r="400" spans="1:18" x14ac:dyDescent="0.15">
      <c r="A400" s="114" t="s">
        <v>498</v>
      </c>
      <c r="B400" s="114"/>
      <c r="C400" s="114"/>
      <c r="D400" s="114"/>
      <c r="Q400" s="1" t="s">
        <v>462</v>
      </c>
    </row>
    <row r="401" spans="1:18" x14ac:dyDescent="0.15">
      <c r="A401" s="115" t="s">
        <v>304</v>
      </c>
      <c r="B401" s="116"/>
      <c r="C401" s="116"/>
      <c r="D401" s="116"/>
      <c r="E401" s="736" t="s">
        <v>305</v>
      </c>
      <c r="F401" s="737"/>
      <c r="G401" s="9" t="s">
        <v>306</v>
      </c>
      <c r="H401" s="9" t="s">
        <v>307</v>
      </c>
      <c r="I401" s="10" t="s">
        <v>308</v>
      </c>
      <c r="J401" s="10"/>
      <c r="K401" s="10"/>
      <c r="L401" s="7" t="s">
        <v>309</v>
      </c>
      <c r="M401" s="10"/>
      <c r="N401" s="10"/>
      <c r="O401" s="11"/>
      <c r="P401" s="10" t="s">
        <v>310</v>
      </c>
      <c r="Q401" s="10"/>
      <c r="R401" s="11"/>
    </row>
    <row r="402" spans="1:18" x14ac:dyDescent="0.15">
      <c r="A402" s="119" t="s">
        <v>399</v>
      </c>
      <c r="B402" s="118"/>
      <c r="C402" s="118"/>
      <c r="D402" s="121"/>
      <c r="E402" s="5"/>
      <c r="F402" s="5"/>
      <c r="G402" s="366" t="s">
        <v>427</v>
      </c>
      <c r="H402" s="366">
        <v>4</v>
      </c>
      <c r="I402" s="700">
        <f>労務単価!O51</f>
        <v>27800</v>
      </c>
      <c r="J402" s="701"/>
      <c r="K402" s="702"/>
      <c r="L402" s="700">
        <f>H402*I402</f>
        <v>111200</v>
      </c>
      <c r="M402" s="701"/>
      <c r="N402" s="701"/>
      <c r="O402" s="702"/>
      <c r="P402" s="5"/>
      <c r="Q402" s="5"/>
      <c r="R402" s="6"/>
    </row>
    <row r="403" spans="1:18" x14ac:dyDescent="0.15">
      <c r="A403" s="119" t="s">
        <v>4</v>
      </c>
      <c r="B403" s="118"/>
      <c r="C403" s="118"/>
      <c r="D403" s="121"/>
      <c r="E403" s="5"/>
      <c r="F403" s="5"/>
      <c r="G403" s="366" t="s">
        <v>427</v>
      </c>
      <c r="H403" s="366">
        <v>6</v>
      </c>
      <c r="I403" s="700">
        <f>労務単価!D51</f>
        <v>25300</v>
      </c>
      <c r="J403" s="701"/>
      <c r="K403" s="702"/>
      <c r="L403" s="700">
        <f>H403*I403</f>
        <v>151800</v>
      </c>
      <c r="M403" s="701"/>
      <c r="N403" s="701"/>
      <c r="O403" s="702"/>
      <c r="P403" s="5"/>
      <c r="Q403" s="5"/>
      <c r="R403" s="6"/>
    </row>
    <row r="404" spans="1:18" x14ac:dyDescent="0.15">
      <c r="A404" s="119" t="s">
        <v>9</v>
      </c>
      <c r="B404" s="118"/>
      <c r="C404" s="118"/>
      <c r="D404" s="121"/>
      <c r="E404" s="5"/>
      <c r="F404" s="5"/>
      <c r="G404" s="366" t="s">
        <v>427</v>
      </c>
      <c r="H404" s="366">
        <v>4</v>
      </c>
      <c r="I404" s="700">
        <f>労務単価!I51</f>
        <v>31100</v>
      </c>
      <c r="J404" s="701"/>
      <c r="K404" s="702"/>
      <c r="L404" s="700">
        <f>H404*I404</f>
        <v>124400</v>
      </c>
      <c r="M404" s="701"/>
      <c r="N404" s="701"/>
      <c r="O404" s="702"/>
      <c r="P404" s="5"/>
      <c r="Q404" s="5"/>
      <c r="R404" s="6"/>
    </row>
    <row r="405" spans="1:18" x14ac:dyDescent="0.15">
      <c r="A405" s="119" t="s">
        <v>5</v>
      </c>
      <c r="B405" s="118"/>
      <c r="C405" s="118"/>
      <c r="D405" s="121"/>
      <c r="E405" s="5"/>
      <c r="F405" s="5"/>
      <c r="G405" s="366" t="s">
        <v>427</v>
      </c>
      <c r="H405" s="366">
        <v>10</v>
      </c>
      <c r="I405" s="700">
        <f>労務単価!E51</f>
        <v>20900</v>
      </c>
      <c r="J405" s="701"/>
      <c r="K405" s="702"/>
      <c r="L405" s="700">
        <f>H405*I405</f>
        <v>209000</v>
      </c>
      <c r="M405" s="701"/>
      <c r="N405" s="701"/>
      <c r="O405" s="702"/>
      <c r="P405" s="5"/>
      <c r="Q405" s="5"/>
      <c r="R405" s="6"/>
    </row>
    <row r="406" spans="1:18" x14ac:dyDescent="0.15">
      <c r="A406" s="119" t="s">
        <v>184</v>
      </c>
      <c r="B406" s="118"/>
      <c r="C406" s="118"/>
      <c r="D406" s="121"/>
      <c r="E406" s="5"/>
      <c r="F406" s="5"/>
      <c r="G406" s="8"/>
      <c r="H406" s="8"/>
      <c r="I406" s="5"/>
      <c r="J406" s="5"/>
      <c r="K406" s="6"/>
      <c r="L406" s="700">
        <f>SUM(L402:O405)</f>
        <v>596400</v>
      </c>
      <c r="M406" s="701"/>
      <c r="N406" s="701"/>
      <c r="O406" s="702"/>
      <c r="P406" s="5"/>
      <c r="Q406" s="5"/>
      <c r="R406" s="6"/>
    </row>
    <row r="407" spans="1:18" x14ac:dyDescent="0.15">
      <c r="A407" s="114"/>
      <c r="B407" s="114"/>
      <c r="C407" s="114"/>
      <c r="D407" s="114"/>
    </row>
    <row r="408" spans="1:18" x14ac:dyDescent="0.15">
      <c r="A408" s="114" t="s">
        <v>499</v>
      </c>
      <c r="B408" s="114"/>
      <c r="C408" s="114"/>
      <c r="D408" s="114"/>
      <c r="Q408" s="1" t="s">
        <v>303</v>
      </c>
    </row>
    <row r="409" spans="1:18" x14ac:dyDescent="0.15">
      <c r="A409" s="115" t="s">
        <v>304</v>
      </c>
      <c r="B409" s="116"/>
      <c r="C409" s="116"/>
      <c r="D409" s="116"/>
      <c r="E409" s="736" t="s">
        <v>305</v>
      </c>
      <c r="F409" s="737"/>
      <c r="G409" s="9" t="s">
        <v>306</v>
      </c>
      <c r="H409" s="9" t="s">
        <v>307</v>
      </c>
      <c r="I409" s="10" t="s">
        <v>308</v>
      </c>
      <c r="J409" s="10"/>
      <c r="K409" s="10"/>
      <c r="L409" s="7" t="s">
        <v>309</v>
      </c>
      <c r="M409" s="10"/>
      <c r="N409" s="10"/>
      <c r="O409" s="11"/>
      <c r="P409" s="10" t="s">
        <v>310</v>
      </c>
      <c r="Q409" s="10"/>
      <c r="R409" s="11"/>
    </row>
    <row r="410" spans="1:18" x14ac:dyDescent="0.15">
      <c r="A410" s="119" t="s">
        <v>500</v>
      </c>
      <c r="B410" s="118"/>
      <c r="C410" s="118"/>
      <c r="D410" s="121"/>
      <c r="E410" s="5"/>
      <c r="F410" s="5"/>
      <c r="G410" s="8"/>
      <c r="H410" s="8"/>
      <c r="I410" s="709"/>
      <c r="J410" s="710"/>
      <c r="K410" s="711"/>
      <c r="L410" s="700"/>
      <c r="M410" s="701"/>
      <c r="N410" s="701"/>
      <c r="O410" s="702"/>
      <c r="P410" s="5"/>
      <c r="Q410" s="5"/>
      <c r="R410" s="6"/>
    </row>
    <row r="411" spans="1:18" x14ac:dyDescent="0.15">
      <c r="A411" s="119" t="s">
        <v>501</v>
      </c>
      <c r="B411" s="118"/>
      <c r="C411" s="118"/>
      <c r="D411" s="121"/>
      <c r="E411" s="5"/>
      <c r="F411" s="5"/>
      <c r="G411" s="366" t="s">
        <v>322</v>
      </c>
      <c r="H411" s="366">
        <v>1</v>
      </c>
      <c r="I411" s="709"/>
      <c r="J411" s="710"/>
      <c r="K411" s="711"/>
      <c r="L411" s="700">
        <f>IF(条件入力!D18=1,内緒!C51*ROUND(バランスシート!G11,0),内緒!D51*ROUND(バランスシート!G11,0))*2</f>
        <v>35600</v>
      </c>
      <c r="M411" s="701"/>
      <c r="N411" s="701"/>
      <c r="O411" s="702"/>
      <c r="P411" s="5" t="s">
        <v>502</v>
      </c>
      <c r="Q411" s="5"/>
      <c r="R411" s="6"/>
    </row>
    <row r="412" spans="1:18" x14ac:dyDescent="0.15">
      <c r="A412" s="119" t="s">
        <v>501</v>
      </c>
      <c r="B412" s="118"/>
      <c r="C412" s="118"/>
      <c r="D412" s="121"/>
      <c r="E412" s="5"/>
      <c r="F412" s="5"/>
      <c r="G412" s="366" t="s">
        <v>195</v>
      </c>
      <c r="H412" s="366">
        <f>条件入力!N19</f>
        <v>27</v>
      </c>
      <c r="I412" s="700">
        <f>IF(条件入力!D18=1,内緒!H51*ROUND(バランスシート!G11+条件入力!AD26+条件入力!D9+0.7+30,0),内緒!I51*ROUND(バランスシート!G11+条件入力!AD26+条件入力!D9+0.7+30,0))*2</f>
        <v>2336</v>
      </c>
      <c r="J412" s="701"/>
      <c r="K412" s="702"/>
      <c r="L412" s="700">
        <f>H412*I412</f>
        <v>63072</v>
      </c>
      <c r="M412" s="701"/>
      <c r="N412" s="701"/>
      <c r="O412" s="702"/>
      <c r="P412" s="5" t="s">
        <v>503</v>
      </c>
      <c r="Q412" s="5"/>
      <c r="R412" s="6"/>
    </row>
    <row r="413" spans="1:18" x14ac:dyDescent="0.15">
      <c r="A413" s="119" t="s">
        <v>504</v>
      </c>
      <c r="B413" s="118"/>
      <c r="C413" s="118"/>
      <c r="D413" s="121"/>
      <c r="E413" s="5"/>
      <c r="F413" s="5"/>
      <c r="G413" s="366" t="s">
        <v>322</v>
      </c>
      <c r="H413" s="366">
        <v>1</v>
      </c>
      <c r="I413" s="709"/>
      <c r="J413" s="710"/>
      <c r="K413" s="711"/>
      <c r="L413" s="700">
        <f>IF(条件入力!D18=1,内緒!C58,内緒!D58)</f>
        <v>227552</v>
      </c>
      <c r="M413" s="701"/>
      <c r="N413" s="701"/>
      <c r="O413" s="702"/>
      <c r="P413" s="5" t="s">
        <v>502</v>
      </c>
      <c r="Q413" s="5"/>
      <c r="R413" s="6"/>
    </row>
    <row r="414" spans="1:18" x14ac:dyDescent="0.15">
      <c r="A414" s="119" t="s">
        <v>504</v>
      </c>
      <c r="B414" s="118"/>
      <c r="C414" s="118"/>
      <c r="D414" s="121"/>
      <c r="E414" s="5"/>
      <c r="F414" s="5"/>
      <c r="G414" s="366" t="s">
        <v>195</v>
      </c>
      <c r="H414" s="366">
        <f>条件入力!N19</f>
        <v>27</v>
      </c>
      <c r="I414" s="700">
        <f>IF(条件入力!D18=1,内緒!H58,内緒!I58)</f>
        <v>2651</v>
      </c>
      <c r="J414" s="701"/>
      <c r="K414" s="702"/>
      <c r="L414" s="700">
        <f>H414*I414</f>
        <v>71577</v>
      </c>
      <c r="M414" s="701"/>
      <c r="N414" s="701"/>
      <c r="O414" s="702"/>
      <c r="P414" s="5" t="s">
        <v>503</v>
      </c>
      <c r="Q414" s="5"/>
      <c r="R414" s="6"/>
    </row>
    <row r="415" spans="1:18" x14ac:dyDescent="0.15">
      <c r="A415" s="119" t="s">
        <v>16</v>
      </c>
      <c r="B415" s="118"/>
      <c r="C415" s="118"/>
      <c r="D415" s="121"/>
      <c r="E415" s="5"/>
      <c r="F415" s="5"/>
      <c r="G415" s="366" t="s">
        <v>427</v>
      </c>
      <c r="H415" s="366">
        <f>0.04*((条件入力!D9+0.7+条件入力!AD26+30)*条件入力!T22+条件入力!M18)</f>
        <v>5.8279999999999994</v>
      </c>
      <c r="I415" s="700">
        <f>労務単価!P51</f>
        <v>25500</v>
      </c>
      <c r="J415" s="701"/>
      <c r="K415" s="702"/>
      <c r="L415" s="700">
        <f>ROUND(H415*I415,0)</f>
        <v>148614</v>
      </c>
      <c r="M415" s="701"/>
      <c r="N415" s="701"/>
      <c r="O415" s="702"/>
      <c r="P415" s="5"/>
      <c r="Q415" s="5"/>
      <c r="R415" s="6"/>
    </row>
    <row r="416" spans="1:18" x14ac:dyDescent="0.15">
      <c r="A416" s="119" t="s">
        <v>5</v>
      </c>
      <c r="B416" s="118"/>
      <c r="C416" s="118"/>
      <c r="D416" s="121"/>
      <c r="E416" s="5"/>
      <c r="F416" s="5"/>
      <c r="G416" s="366" t="s">
        <v>427</v>
      </c>
      <c r="H416" s="366">
        <f>0.04*((条件入力!D9+0.7+条件入力!AD26+30)*条件入力!T22+条件入力!M18)</f>
        <v>5.8279999999999994</v>
      </c>
      <c r="I416" s="700">
        <f>労務単価!E51</f>
        <v>20900</v>
      </c>
      <c r="J416" s="701"/>
      <c r="K416" s="702"/>
      <c r="L416" s="700">
        <f>ROUND(H416*I416,0)</f>
        <v>121805</v>
      </c>
      <c r="M416" s="701"/>
      <c r="N416" s="701"/>
      <c r="O416" s="702"/>
      <c r="P416" s="5"/>
      <c r="Q416" s="5"/>
      <c r="R416" s="6"/>
    </row>
    <row r="417" spans="1:22" x14ac:dyDescent="0.15">
      <c r="A417" s="119" t="s">
        <v>399</v>
      </c>
      <c r="B417" s="118"/>
      <c r="C417" s="118"/>
      <c r="D417" s="121"/>
      <c r="E417" s="5"/>
      <c r="F417" s="5"/>
      <c r="G417" s="366" t="s">
        <v>427</v>
      </c>
      <c r="H417" s="366">
        <f>0.04*((条件入力!D9+0.7+条件入力!AD26+30)*条件入力!T22+条件入力!M18)</f>
        <v>5.8279999999999994</v>
      </c>
      <c r="I417" s="700">
        <f>労務単価!O51</f>
        <v>27800</v>
      </c>
      <c r="J417" s="701"/>
      <c r="K417" s="702"/>
      <c r="L417" s="700">
        <f>ROUND(H417*I417,0)</f>
        <v>162018</v>
      </c>
      <c r="M417" s="701"/>
      <c r="N417" s="701"/>
      <c r="O417" s="702"/>
      <c r="P417" s="5"/>
      <c r="Q417" s="5"/>
      <c r="R417" s="6"/>
    </row>
    <row r="418" spans="1:22" x14ac:dyDescent="0.15">
      <c r="A418" s="119" t="s">
        <v>184</v>
      </c>
      <c r="B418" s="118"/>
      <c r="C418" s="118"/>
      <c r="D418" s="121"/>
      <c r="E418" s="5"/>
      <c r="F418" s="5"/>
      <c r="G418" s="8"/>
      <c r="H418" s="8"/>
      <c r="I418" s="5"/>
      <c r="J418" s="5"/>
      <c r="K418" s="6"/>
      <c r="L418" s="700">
        <f>SUM(L411:O417)</f>
        <v>830238</v>
      </c>
      <c r="M418" s="701"/>
      <c r="N418" s="701"/>
      <c r="O418" s="702"/>
      <c r="P418" s="5"/>
      <c r="Q418" s="5"/>
      <c r="R418" s="6"/>
    </row>
    <row r="419" spans="1:22" x14ac:dyDescent="0.15">
      <c r="A419" s="129" t="s">
        <v>505</v>
      </c>
      <c r="B419" s="114"/>
      <c r="C419" s="114"/>
      <c r="D419" s="114"/>
      <c r="Q419" s="1" t="s">
        <v>303</v>
      </c>
    </row>
    <row r="420" spans="1:22" x14ac:dyDescent="0.15">
      <c r="A420" s="115" t="s">
        <v>304</v>
      </c>
      <c r="B420" s="116"/>
      <c r="C420" s="116"/>
      <c r="D420" s="116"/>
      <c r="E420" s="736" t="s">
        <v>305</v>
      </c>
      <c r="F420" s="737"/>
      <c r="G420" s="9" t="s">
        <v>306</v>
      </c>
      <c r="H420" s="9" t="s">
        <v>307</v>
      </c>
      <c r="I420" s="10" t="s">
        <v>308</v>
      </c>
      <c r="J420" s="10"/>
      <c r="K420" s="10"/>
      <c r="L420" s="7" t="s">
        <v>309</v>
      </c>
      <c r="M420" s="10"/>
      <c r="N420" s="10"/>
      <c r="O420" s="11"/>
      <c r="P420" s="10" t="s">
        <v>310</v>
      </c>
      <c r="Q420" s="10"/>
      <c r="R420" s="11"/>
    </row>
    <row r="421" spans="1:22" x14ac:dyDescent="0.15">
      <c r="A421" s="115" t="s">
        <v>506</v>
      </c>
      <c r="B421" s="118"/>
      <c r="C421" s="118"/>
      <c r="D421" s="121"/>
      <c r="E421" s="5"/>
      <c r="F421" s="5"/>
      <c r="G421" s="8" t="s">
        <v>344</v>
      </c>
      <c r="H421" s="107">
        <f>条件入力!T22</f>
        <v>1</v>
      </c>
      <c r="I421" s="700">
        <f>L439</f>
        <v>169800</v>
      </c>
      <c r="J421" s="701"/>
      <c r="K421" s="702"/>
      <c r="L421" s="700">
        <f>H421*I421</f>
        <v>169800</v>
      </c>
      <c r="M421" s="701"/>
      <c r="N421" s="701"/>
      <c r="O421" s="702"/>
      <c r="P421" s="5" t="s">
        <v>507</v>
      </c>
      <c r="Q421" s="5"/>
      <c r="R421" s="6"/>
    </row>
    <row r="422" spans="1:22" x14ac:dyDescent="0.15">
      <c r="A422" s="115" t="s">
        <v>508</v>
      </c>
      <c r="B422" s="118"/>
      <c r="C422" s="118"/>
      <c r="D422" s="121"/>
      <c r="E422" s="5"/>
      <c r="F422" s="5"/>
      <c r="G422" s="8" t="s">
        <v>344</v>
      </c>
      <c r="H422" s="107">
        <f>条件入力!T21</f>
        <v>1</v>
      </c>
      <c r="I422" s="700">
        <f>L450</f>
        <v>169800</v>
      </c>
      <c r="J422" s="701"/>
      <c r="K422" s="702"/>
      <c r="L422" s="700">
        <f>H422*I422</f>
        <v>169800</v>
      </c>
      <c r="M422" s="701"/>
      <c r="N422" s="701"/>
      <c r="O422" s="702"/>
      <c r="P422" s="5" t="s">
        <v>509</v>
      </c>
      <c r="Q422" s="5"/>
      <c r="R422" s="6"/>
    </row>
    <row r="423" spans="1:22" x14ac:dyDescent="0.15">
      <c r="A423" s="115" t="s">
        <v>510</v>
      </c>
      <c r="B423" s="118"/>
      <c r="C423" s="118"/>
      <c r="D423" s="121"/>
      <c r="E423" s="5"/>
      <c r="F423" s="5"/>
      <c r="G423" s="366" t="s">
        <v>213</v>
      </c>
      <c r="H423" s="366">
        <f>条件入力!D23</f>
        <v>0</v>
      </c>
      <c r="I423" s="700">
        <f>L458</f>
        <v>122700</v>
      </c>
      <c r="J423" s="701"/>
      <c r="K423" s="702"/>
      <c r="L423" s="700">
        <f>H423*I423</f>
        <v>0</v>
      </c>
      <c r="M423" s="701"/>
      <c r="N423" s="701"/>
      <c r="O423" s="702"/>
      <c r="P423" s="5"/>
      <c r="Q423" s="5" t="s">
        <v>511</v>
      </c>
      <c r="R423" s="6"/>
    </row>
    <row r="424" spans="1:22" x14ac:dyDescent="0.15">
      <c r="A424" s="119" t="s">
        <v>184</v>
      </c>
      <c r="B424" s="118"/>
      <c r="C424" s="118"/>
      <c r="D424" s="121"/>
      <c r="E424" s="5"/>
      <c r="F424" s="5"/>
      <c r="G424" s="8"/>
      <c r="H424" s="8"/>
      <c r="I424" s="5"/>
      <c r="J424" s="5"/>
      <c r="K424" s="6"/>
      <c r="L424" s="700">
        <f>SUM(L421:O423)</f>
        <v>339600</v>
      </c>
      <c r="M424" s="701"/>
      <c r="N424" s="701"/>
      <c r="O424" s="702"/>
      <c r="P424" s="5"/>
      <c r="Q424" s="5"/>
      <c r="R424" s="6"/>
    </row>
    <row r="425" spans="1:22" x14ac:dyDescent="0.15">
      <c r="A425" s="114"/>
      <c r="B425" s="114"/>
      <c r="C425" s="114"/>
      <c r="D425" s="114"/>
    </row>
    <row r="426" spans="1:22" x14ac:dyDescent="0.15">
      <c r="A426" s="114" t="s">
        <v>512</v>
      </c>
      <c r="B426" s="114"/>
      <c r="C426" s="114"/>
      <c r="D426" s="114"/>
      <c r="Q426" s="14" t="s">
        <v>418</v>
      </c>
    </row>
    <row r="427" spans="1:22" x14ac:dyDescent="0.15">
      <c r="A427" s="115" t="s">
        <v>304</v>
      </c>
      <c r="B427" s="116"/>
      <c r="C427" s="116"/>
      <c r="D427" s="116"/>
      <c r="E427" s="736" t="s">
        <v>305</v>
      </c>
      <c r="F427" s="737"/>
      <c r="G427" s="9" t="s">
        <v>306</v>
      </c>
      <c r="H427" s="9" t="s">
        <v>307</v>
      </c>
      <c r="I427" s="10" t="s">
        <v>308</v>
      </c>
      <c r="J427" s="10"/>
      <c r="K427" s="10"/>
      <c r="L427" s="7" t="s">
        <v>309</v>
      </c>
      <c r="M427" s="10"/>
      <c r="N427" s="10"/>
      <c r="O427" s="11"/>
      <c r="P427" s="10" t="s">
        <v>310</v>
      </c>
      <c r="Q427" s="10"/>
      <c r="R427" s="11"/>
    </row>
    <row r="428" spans="1:22" x14ac:dyDescent="0.15">
      <c r="A428" s="115" t="s">
        <v>506</v>
      </c>
      <c r="B428" s="118"/>
      <c r="C428" s="118"/>
      <c r="D428" s="121"/>
      <c r="E428" s="5"/>
      <c r="F428" s="5"/>
      <c r="G428" s="8" t="s">
        <v>213</v>
      </c>
      <c r="H428" s="107">
        <v>1</v>
      </c>
      <c r="I428" s="700">
        <f>L439</f>
        <v>169800</v>
      </c>
      <c r="J428" s="701"/>
      <c r="K428" s="702"/>
      <c r="L428" s="700">
        <f>H428*I428</f>
        <v>169800</v>
      </c>
      <c r="M428" s="701"/>
      <c r="N428" s="701"/>
      <c r="O428" s="702"/>
      <c r="P428" s="5"/>
      <c r="Q428" s="5" t="s">
        <v>513</v>
      </c>
      <c r="R428" s="6"/>
    </row>
    <row r="429" spans="1:22" x14ac:dyDescent="0.15">
      <c r="A429" s="119" t="s">
        <v>184</v>
      </c>
      <c r="B429" s="118"/>
      <c r="C429" s="118"/>
      <c r="D429" s="121"/>
      <c r="E429" s="5"/>
      <c r="F429" s="5"/>
      <c r="G429" s="8"/>
      <c r="H429" s="8"/>
      <c r="I429" s="5"/>
      <c r="J429" s="5"/>
      <c r="K429" s="6"/>
      <c r="L429" s="700">
        <f>SUM(L428)</f>
        <v>169800</v>
      </c>
      <c r="M429" s="701"/>
      <c r="N429" s="701"/>
      <c r="O429" s="702"/>
      <c r="P429" s="5"/>
      <c r="Q429" s="5"/>
      <c r="R429" s="6"/>
    </row>
    <row r="430" spans="1:22" x14ac:dyDescent="0.15">
      <c r="A430" s="114"/>
      <c r="B430" s="114"/>
      <c r="C430" s="114"/>
      <c r="D430" s="114"/>
    </row>
    <row r="431" spans="1:22" x14ac:dyDescent="0.15">
      <c r="A431" s="114" t="s">
        <v>514</v>
      </c>
      <c r="B431" s="114"/>
      <c r="C431" s="114"/>
      <c r="D431" s="114"/>
      <c r="Q431" s="1" t="s">
        <v>515</v>
      </c>
      <c r="V431" s="111"/>
    </row>
    <row r="432" spans="1:22" x14ac:dyDescent="0.15">
      <c r="A432" s="115" t="s">
        <v>304</v>
      </c>
      <c r="B432" s="116"/>
      <c r="C432" s="116"/>
      <c r="D432" s="116"/>
      <c r="E432" s="736" t="s">
        <v>305</v>
      </c>
      <c r="F432" s="737"/>
      <c r="G432" s="9" t="s">
        <v>306</v>
      </c>
      <c r="H432" s="9" t="s">
        <v>307</v>
      </c>
      <c r="I432" s="10" t="s">
        <v>308</v>
      </c>
      <c r="J432" s="10"/>
      <c r="K432" s="10"/>
      <c r="L432" s="7" t="s">
        <v>309</v>
      </c>
      <c r="M432" s="10"/>
      <c r="N432" s="10"/>
      <c r="O432" s="11"/>
      <c r="P432" s="10" t="s">
        <v>310</v>
      </c>
      <c r="Q432" s="10"/>
      <c r="R432" s="11"/>
    </row>
    <row r="433" spans="1:18" x14ac:dyDescent="0.15">
      <c r="A433" s="119" t="s">
        <v>399</v>
      </c>
      <c r="B433" s="118"/>
      <c r="C433" s="118"/>
      <c r="D433" s="121"/>
      <c r="E433" s="5"/>
      <c r="F433" s="5"/>
      <c r="G433" s="366" t="s">
        <v>427</v>
      </c>
      <c r="H433" s="366">
        <f>IF(条件入力!H15=50,0.5,IF(条件入力!H15=80,1,1.5))</f>
        <v>1</v>
      </c>
      <c r="I433" s="700">
        <f>労務単価!O51</f>
        <v>27800</v>
      </c>
      <c r="J433" s="701"/>
      <c r="K433" s="702"/>
      <c r="L433" s="700">
        <f t="shared" ref="L433:L438" si="7">H433*I433</f>
        <v>27800</v>
      </c>
      <c r="M433" s="701"/>
      <c r="N433" s="701"/>
      <c r="O433" s="702"/>
      <c r="P433" s="4"/>
      <c r="Q433" s="5"/>
      <c r="R433" s="6"/>
    </row>
    <row r="434" spans="1:18" x14ac:dyDescent="0.15">
      <c r="A434" s="119" t="s">
        <v>516</v>
      </c>
      <c r="B434" s="118"/>
      <c r="C434" s="118"/>
      <c r="D434" s="121"/>
      <c r="E434" s="5"/>
      <c r="F434" s="5"/>
      <c r="G434" s="366" t="s">
        <v>427</v>
      </c>
      <c r="H434" s="366">
        <f>IF(条件入力!H15=50,0.5,IF(条件入力!H15=80,1,1.5))</f>
        <v>1</v>
      </c>
      <c r="I434" s="700">
        <f>労務単価!P51</f>
        <v>25500</v>
      </c>
      <c r="J434" s="701"/>
      <c r="K434" s="702"/>
      <c r="L434" s="700">
        <f t="shared" si="7"/>
        <v>25500</v>
      </c>
      <c r="M434" s="701"/>
      <c r="N434" s="701"/>
      <c r="O434" s="702"/>
      <c r="P434" s="5"/>
      <c r="Q434" s="5"/>
      <c r="R434" s="6"/>
    </row>
    <row r="435" spans="1:18" x14ac:dyDescent="0.15">
      <c r="A435" s="119" t="s">
        <v>7</v>
      </c>
      <c r="B435" s="118"/>
      <c r="C435" s="118"/>
      <c r="D435" s="121"/>
      <c r="E435" s="5"/>
      <c r="F435" s="5"/>
      <c r="G435" s="366" t="s">
        <v>427</v>
      </c>
      <c r="H435" s="366">
        <f>IF(条件入力!H15=50,0.5,IF(条件入力!H15=80,1,1.5))</f>
        <v>1</v>
      </c>
      <c r="I435" s="700">
        <f>労務単価!G51</f>
        <v>27600</v>
      </c>
      <c r="J435" s="701"/>
      <c r="K435" s="702"/>
      <c r="L435" s="700">
        <f t="shared" si="7"/>
        <v>27600</v>
      </c>
      <c r="M435" s="701"/>
      <c r="N435" s="701"/>
      <c r="O435" s="702"/>
      <c r="P435" s="5"/>
      <c r="Q435" s="5"/>
      <c r="R435" s="6"/>
    </row>
    <row r="436" spans="1:18" x14ac:dyDescent="0.15">
      <c r="A436" s="119" t="s">
        <v>5</v>
      </c>
      <c r="B436" s="118"/>
      <c r="C436" s="118"/>
      <c r="D436" s="121"/>
      <c r="E436" s="5"/>
      <c r="F436" s="5"/>
      <c r="G436" s="366" t="s">
        <v>427</v>
      </c>
      <c r="H436" s="366">
        <f>IF(条件入力!H15=50,1,IF(条件入力!H15=80,2,3))</f>
        <v>2</v>
      </c>
      <c r="I436" s="700">
        <f>労務単価!E51</f>
        <v>20900</v>
      </c>
      <c r="J436" s="701"/>
      <c r="K436" s="702"/>
      <c r="L436" s="700">
        <f t="shared" si="7"/>
        <v>41800</v>
      </c>
      <c r="M436" s="701"/>
      <c r="N436" s="701"/>
      <c r="O436" s="702"/>
      <c r="P436" s="5"/>
      <c r="Q436" s="5"/>
      <c r="R436" s="6"/>
    </row>
    <row r="437" spans="1:18" x14ac:dyDescent="0.15">
      <c r="A437" s="119" t="s">
        <v>6</v>
      </c>
      <c r="B437" s="118"/>
      <c r="C437" s="118"/>
      <c r="D437" s="121"/>
      <c r="E437" s="5"/>
      <c r="F437" s="5"/>
      <c r="G437" s="366" t="s">
        <v>427</v>
      </c>
      <c r="H437" s="366">
        <f>IF(条件入力!H15=50,0.5,IF(条件入力!H15=80,1,1.5))</f>
        <v>1</v>
      </c>
      <c r="I437" s="700">
        <f>労務単価!F51</f>
        <v>28600</v>
      </c>
      <c r="J437" s="701"/>
      <c r="K437" s="702"/>
      <c r="L437" s="700">
        <f t="shared" si="7"/>
        <v>28600</v>
      </c>
      <c r="M437" s="701"/>
      <c r="N437" s="701"/>
      <c r="O437" s="702"/>
      <c r="P437" s="5"/>
      <c r="Q437" s="5"/>
      <c r="R437" s="6"/>
    </row>
    <row r="438" spans="1:18" x14ac:dyDescent="0.15">
      <c r="A438" s="119" t="s">
        <v>401</v>
      </c>
      <c r="B438" s="118"/>
      <c r="C438" s="118"/>
      <c r="D438" s="121"/>
      <c r="E438" s="5" t="s">
        <v>402</v>
      </c>
      <c r="F438" s="5"/>
      <c r="G438" s="366" t="s">
        <v>195</v>
      </c>
      <c r="H438" s="366">
        <f>IF(条件入力!H15=50,0.3,IF(条件入力!H15=80,0.5,1))</f>
        <v>0.5</v>
      </c>
      <c r="I438" s="700">
        <f>機械単価!D70</f>
        <v>37000</v>
      </c>
      <c r="J438" s="701"/>
      <c r="K438" s="702"/>
      <c r="L438" s="700">
        <f t="shared" si="7"/>
        <v>18500</v>
      </c>
      <c r="M438" s="701"/>
      <c r="N438" s="701"/>
      <c r="O438" s="702"/>
      <c r="P438" s="5"/>
      <c r="Q438" s="5"/>
      <c r="R438" s="6"/>
    </row>
    <row r="439" spans="1:18" x14ac:dyDescent="0.15">
      <c r="A439" s="119" t="s">
        <v>184</v>
      </c>
      <c r="B439" s="118"/>
      <c r="C439" s="118"/>
      <c r="D439" s="121"/>
      <c r="E439" s="5"/>
      <c r="F439" s="5"/>
      <c r="G439" s="8"/>
      <c r="H439" s="8"/>
      <c r="I439" s="5"/>
      <c r="J439" s="5"/>
      <c r="K439" s="6"/>
      <c r="L439" s="700">
        <f>SUM(L433:O438)</f>
        <v>169800</v>
      </c>
      <c r="M439" s="701"/>
      <c r="N439" s="701"/>
      <c r="O439" s="702"/>
      <c r="P439" s="5"/>
      <c r="Q439" s="5"/>
      <c r="R439" s="6"/>
    </row>
    <row r="440" spans="1:18" x14ac:dyDescent="0.15">
      <c r="A440" s="114"/>
      <c r="B440" s="114"/>
      <c r="C440" s="114"/>
      <c r="D440" s="114"/>
    </row>
    <row r="441" spans="1:18" x14ac:dyDescent="0.15">
      <c r="A441" s="114"/>
      <c r="B441" s="114"/>
      <c r="C441" s="114"/>
      <c r="D441" s="114"/>
    </row>
    <row r="442" spans="1:18" x14ac:dyDescent="0.15">
      <c r="A442" s="122" t="s">
        <v>517</v>
      </c>
      <c r="B442" s="114"/>
      <c r="C442" s="114"/>
      <c r="D442" s="114"/>
      <c r="Q442" s="1" t="s">
        <v>515</v>
      </c>
    </row>
    <row r="443" spans="1:18" x14ac:dyDescent="0.15">
      <c r="A443" s="115" t="s">
        <v>304</v>
      </c>
      <c r="B443" s="116"/>
      <c r="C443" s="116"/>
      <c r="D443" s="116"/>
      <c r="E443" s="736" t="s">
        <v>305</v>
      </c>
      <c r="F443" s="737"/>
      <c r="G443" s="9" t="s">
        <v>306</v>
      </c>
      <c r="H443" s="9" t="s">
        <v>307</v>
      </c>
      <c r="I443" s="10" t="s">
        <v>308</v>
      </c>
      <c r="J443" s="10"/>
      <c r="K443" s="10"/>
      <c r="L443" s="7" t="s">
        <v>309</v>
      </c>
      <c r="M443" s="10"/>
      <c r="N443" s="10"/>
      <c r="O443" s="11"/>
      <c r="P443" s="10" t="s">
        <v>310</v>
      </c>
      <c r="Q443" s="10"/>
      <c r="R443" s="11"/>
    </row>
    <row r="444" spans="1:18" x14ac:dyDescent="0.15">
      <c r="A444" s="119" t="s">
        <v>399</v>
      </c>
      <c r="B444" s="118"/>
      <c r="C444" s="118"/>
      <c r="D444" s="121"/>
      <c r="E444" s="5"/>
      <c r="F444" s="5"/>
      <c r="G444" s="366" t="s">
        <v>427</v>
      </c>
      <c r="H444" s="366">
        <f>IF(条件入力!H15=50,0.5,IF(条件入力!H15=80,1,1.5))</f>
        <v>1</v>
      </c>
      <c r="I444" s="700">
        <f>労務単価!O51</f>
        <v>27800</v>
      </c>
      <c r="J444" s="701"/>
      <c r="K444" s="702"/>
      <c r="L444" s="700">
        <f t="shared" ref="L444:L449" si="8">H444*I444</f>
        <v>27800</v>
      </c>
      <c r="M444" s="701"/>
      <c r="N444" s="701"/>
      <c r="O444" s="702"/>
      <c r="P444" s="5"/>
      <c r="Q444" s="5"/>
      <c r="R444" s="6"/>
    </row>
    <row r="445" spans="1:18" x14ac:dyDescent="0.15">
      <c r="A445" s="119" t="s">
        <v>516</v>
      </c>
      <c r="B445" s="118"/>
      <c r="C445" s="118"/>
      <c r="D445" s="121"/>
      <c r="E445" s="5"/>
      <c r="F445" s="5"/>
      <c r="G445" s="366" t="s">
        <v>427</v>
      </c>
      <c r="H445" s="366">
        <f>IF(条件入力!H15=50,0.5,IF(条件入力!H15=80,1,1.5))</f>
        <v>1</v>
      </c>
      <c r="I445" s="700">
        <f>労務単価!P51</f>
        <v>25500</v>
      </c>
      <c r="J445" s="701"/>
      <c r="K445" s="702"/>
      <c r="L445" s="700">
        <f t="shared" si="8"/>
        <v>25500</v>
      </c>
      <c r="M445" s="701"/>
      <c r="N445" s="701"/>
      <c r="O445" s="702"/>
      <c r="P445" s="5"/>
      <c r="Q445" s="5"/>
      <c r="R445" s="6"/>
    </row>
    <row r="446" spans="1:18" x14ac:dyDescent="0.15">
      <c r="A446" s="119" t="s">
        <v>7</v>
      </c>
      <c r="B446" s="118"/>
      <c r="C446" s="118"/>
      <c r="D446" s="121"/>
      <c r="E446" s="5"/>
      <c r="F446" s="5"/>
      <c r="G446" s="366" t="s">
        <v>427</v>
      </c>
      <c r="H446" s="366">
        <f>IF(条件入力!H15=50,0.5,IF(条件入力!H15=80,1,1.5))</f>
        <v>1</v>
      </c>
      <c r="I446" s="700">
        <f>労務単価!G51</f>
        <v>27600</v>
      </c>
      <c r="J446" s="701"/>
      <c r="K446" s="702"/>
      <c r="L446" s="700">
        <f t="shared" si="8"/>
        <v>27600</v>
      </c>
      <c r="M446" s="701"/>
      <c r="N446" s="701"/>
      <c r="O446" s="702"/>
      <c r="P446" s="5"/>
      <c r="Q446" s="5"/>
      <c r="R446" s="6"/>
    </row>
    <row r="447" spans="1:18" x14ac:dyDescent="0.15">
      <c r="A447" s="119" t="s">
        <v>5</v>
      </c>
      <c r="B447" s="118"/>
      <c r="C447" s="118"/>
      <c r="D447" s="121"/>
      <c r="E447" s="5"/>
      <c r="F447" s="5"/>
      <c r="G447" s="366" t="s">
        <v>427</v>
      </c>
      <c r="H447" s="366">
        <f>IF(条件入力!H15=50,1,IF(条件入力!H15=80,2,3))</f>
        <v>2</v>
      </c>
      <c r="I447" s="700">
        <f>労務単価!E51</f>
        <v>20900</v>
      </c>
      <c r="J447" s="701"/>
      <c r="K447" s="702"/>
      <c r="L447" s="700">
        <f t="shared" si="8"/>
        <v>41800</v>
      </c>
      <c r="M447" s="701"/>
      <c r="N447" s="701"/>
      <c r="O447" s="702"/>
      <c r="P447" s="5"/>
      <c r="Q447" s="5"/>
      <c r="R447" s="6"/>
    </row>
    <row r="448" spans="1:18" x14ac:dyDescent="0.15">
      <c r="A448" s="119" t="s">
        <v>6</v>
      </c>
      <c r="B448" s="118"/>
      <c r="C448" s="118"/>
      <c r="D448" s="121"/>
      <c r="E448" s="5"/>
      <c r="F448" s="5"/>
      <c r="G448" s="366" t="s">
        <v>427</v>
      </c>
      <c r="H448" s="366">
        <f>IF(条件入力!H15=50,0.5,IF(条件入力!H15=80,1,1.5))</f>
        <v>1</v>
      </c>
      <c r="I448" s="700">
        <f>労務単価!F51</f>
        <v>28600</v>
      </c>
      <c r="J448" s="701"/>
      <c r="K448" s="702"/>
      <c r="L448" s="700">
        <f t="shared" si="8"/>
        <v>28600</v>
      </c>
      <c r="M448" s="701"/>
      <c r="N448" s="701"/>
      <c r="O448" s="702"/>
      <c r="P448" s="5"/>
      <c r="Q448" s="5"/>
      <c r="R448" s="6"/>
    </row>
    <row r="449" spans="1:18" x14ac:dyDescent="0.15">
      <c r="A449" s="119" t="s">
        <v>401</v>
      </c>
      <c r="B449" s="118"/>
      <c r="C449" s="118"/>
      <c r="D449" s="121"/>
      <c r="E449" s="5" t="s">
        <v>402</v>
      </c>
      <c r="F449" s="5"/>
      <c r="G449" s="366" t="s">
        <v>195</v>
      </c>
      <c r="H449" s="366">
        <f>IF(条件入力!H15=50,0.3,IF(条件入力!H15=80,0.5,1))</f>
        <v>0.5</v>
      </c>
      <c r="I449" s="700">
        <f>機械単価!D70</f>
        <v>37000</v>
      </c>
      <c r="J449" s="701"/>
      <c r="K449" s="702"/>
      <c r="L449" s="700">
        <f t="shared" si="8"/>
        <v>18500</v>
      </c>
      <c r="M449" s="701"/>
      <c r="N449" s="701"/>
      <c r="O449" s="702"/>
      <c r="P449" s="5"/>
      <c r="Q449" s="5"/>
      <c r="R449" s="6"/>
    </row>
    <row r="450" spans="1:18" x14ac:dyDescent="0.15">
      <c r="A450" s="119" t="s">
        <v>184</v>
      </c>
      <c r="B450" s="118"/>
      <c r="C450" s="118"/>
      <c r="D450" s="121"/>
      <c r="E450" s="5"/>
      <c r="F450" s="5"/>
      <c r="G450" s="8"/>
      <c r="H450" s="8"/>
      <c r="I450" s="5"/>
      <c r="J450" s="5"/>
      <c r="K450" s="6"/>
      <c r="L450" s="700">
        <f>SUM(L444:O449)</f>
        <v>169800</v>
      </c>
      <c r="M450" s="701"/>
      <c r="N450" s="701"/>
      <c r="O450" s="702"/>
      <c r="P450" s="5"/>
      <c r="Q450" s="5"/>
      <c r="R450" s="6"/>
    </row>
    <row r="451" spans="1:18" x14ac:dyDescent="0.15">
      <c r="A451" s="114"/>
      <c r="B451" s="114"/>
      <c r="C451" s="114"/>
      <c r="D451" s="114"/>
    </row>
    <row r="452" spans="1:18" x14ac:dyDescent="0.15">
      <c r="A452" s="122" t="s">
        <v>518</v>
      </c>
      <c r="B452" s="114"/>
      <c r="C452" s="114"/>
      <c r="D452" s="114"/>
      <c r="Q452" s="1" t="s">
        <v>515</v>
      </c>
    </row>
    <row r="453" spans="1:18" x14ac:dyDescent="0.15">
      <c r="A453" s="115" t="s">
        <v>304</v>
      </c>
      <c r="B453" s="116"/>
      <c r="C453" s="116"/>
      <c r="D453" s="116"/>
      <c r="E453" s="736" t="s">
        <v>305</v>
      </c>
      <c r="F453" s="737"/>
      <c r="G453" s="9" t="s">
        <v>306</v>
      </c>
      <c r="H453" s="9" t="s">
        <v>307</v>
      </c>
      <c r="I453" s="10" t="s">
        <v>308</v>
      </c>
      <c r="J453" s="10"/>
      <c r="K453" s="10"/>
      <c r="L453" s="7" t="s">
        <v>309</v>
      </c>
      <c r="M453" s="10"/>
      <c r="N453" s="10"/>
      <c r="O453" s="11"/>
      <c r="P453" s="10" t="s">
        <v>310</v>
      </c>
      <c r="Q453" s="10"/>
      <c r="R453" s="11"/>
    </row>
    <row r="454" spans="1:18" x14ac:dyDescent="0.15">
      <c r="A454" s="119" t="s">
        <v>399</v>
      </c>
      <c r="B454" s="118"/>
      <c r="C454" s="118"/>
      <c r="D454" s="121"/>
      <c r="E454" s="5"/>
      <c r="F454" s="5"/>
      <c r="G454" s="366" t="s">
        <v>427</v>
      </c>
      <c r="H454" s="366">
        <v>1</v>
      </c>
      <c r="I454" s="700">
        <f>労務単価!O51</f>
        <v>27800</v>
      </c>
      <c r="J454" s="701"/>
      <c r="K454" s="702"/>
      <c r="L454" s="700">
        <f>H454*I454</f>
        <v>27800</v>
      </c>
      <c r="M454" s="701"/>
      <c r="N454" s="701"/>
      <c r="O454" s="702"/>
      <c r="P454" s="5"/>
      <c r="Q454" s="5"/>
      <c r="R454" s="6"/>
    </row>
    <row r="455" spans="1:18" x14ac:dyDescent="0.15">
      <c r="A455" s="119" t="s">
        <v>516</v>
      </c>
      <c r="B455" s="118"/>
      <c r="C455" s="118"/>
      <c r="D455" s="121"/>
      <c r="E455" s="5"/>
      <c r="F455" s="5"/>
      <c r="G455" s="366" t="s">
        <v>427</v>
      </c>
      <c r="H455" s="366">
        <v>1</v>
      </c>
      <c r="I455" s="700">
        <f>労務単価!P51</f>
        <v>25500</v>
      </c>
      <c r="J455" s="701"/>
      <c r="K455" s="702"/>
      <c r="L455" s="700">
        <f>H455*I455</f>
        <v>25500</v>
      </c>
      <c r="M455" s="701"/>
      <c r="N455" s="701"/>
      <c r="O455" s="702"/>
      <c r="P455" s="5"/>
      <c r="Q455" s="5"/>
      <c r="R455" s="6"/>
    </row>
    <row r="456" spans="1:18" x14ac:dyDescent="0.15">
      <c r="A456" s="119" t="s">
        <v>5</v>
      </c>
      <c r="B456" s="118"/>
      <c r="C456" s="118"/>
      <c r="D456" s="121"/>
      <c r="E456" s="5"/>
      <c r="F456" s="5"/>
      <c r="G456" s="366" t="s">
        <v>427</v>
      </c>
      <c r="H456" s="366">
        <v>2</v>
      </c>
      <c r="I456" s="700">
        <f>労務単価!E51</f>
        <v>20900</v>
      </c>
      <c r="J456" s="701"/>
      <c r="K456" s="702"/>
      <c r="L456" s="700">
        <f>H456*I456</f>
        <v>41800</v>
      </c>
      <c r="M456" s="701"/>
      <c r="N456" s="701"/>
      <c r="O456" s="702"/>
      <c r="P456" s="5"/>
      <c r="Q456" s="5"/>
      <c r="R456" s="6"/>
    </row>
    <row r="457" spans="1:18" x14ac:dyDescent="0.15">
      <c r="A457" s="119" t="s">
        <v>7</v>
      </c>
      <c r="B457" s="118"/>
      <c r="C457" s="118"/>
      <c r="D457" s="121"/>
      <c r="E457" s="5"/>
      <c r="F457" s="5"/>
      <c r="G457" s="366" t="s">
        <v>427</v>
      </c>
      <c r="H457" s="366">
        <v>1</v>
      </c>
      <c r="I457" s="700">
        <f>労務単価!G51</f>
        <v>27600</v>
      </c>
      <c r="J457" s="701"/>
      <c r="K457" s="702"/>
      <c r="L457" s="700">
        <f>H457*I457</f>
        <v>27600</v>
      </c>
      <c r="M457" s="701"/>
      <c r="N457" s="701"/>
      <c r="O457" s="702"/>
      <c r="P457" s="5"/>
      <c r="Q457" s="5"/>
      <c r="R457" s="6"/>
    </row>
    <row r="458" spans="1:18" x14ac:dyDescent="0.15">
      <c r="A458" s="119" t="s">
        <v>184</v>
      </c>
      <c r="B458" s="118"/>
      <c r="C458" s="118"/>
      <c r="D458" s="121"/>
      <c r="E458" s="5"/>
      <c r="F458" s="5"/>
      <c r="G458" s="8"/>
      <c r="H458" s="8"/>
      <c r="I458" s="5"/>
      <c r="J458" s="5"/>
      <c r="K458" s="6"/>
      <c r="L458" s="700">
        <f>SUM(L454:O457)</f>
        <v>122700</v>
      </c>
      <c r="M458" s="701"/>
      <c r="N458" s="701"/>
      <c r="O458" s="702"/>
      <c r="P458" s="5"/>
      <c r="Q458" s="5"/>
      <c r="R458" s="6"/>
    </row>
    <row r="459" spans="1:18" x14ac:dyDescent="0.15">
      <c r="A459" s="114"/>
      <c r="B459" s="114"/>
      <c r="C459" s="114"/>
      <c r="D459" s="114"/>
    </row>
    <row r="460" spans="1:18" x14ac:dyDescent="0.15">
      <c r="A460" s="114" t="s">
        <v>519</v>
      </c>
      <c r="B460" s="114"/>
      <c r="C460" s="114"/>
      <c r="D460" s="114"/>
      <c r="Q460" s="1" t="s">
        <v>303</v>
      </c>
    </row>
    <row r="461" spans="1:18" x14ac:dyDescent="0.15">
      <c r="A461" s="115" t="s">
        <v>304</v>
      </c>
      <c r="B461" s="116"/>
      <c r="C461" s="116"/>
      <c r="D461" s="116"/>
      <c r="E461" s="736" t="s">
        <v>305</v>
      </c>
      <c r="F461" s="737"/>
      <c r="G461" s="9" t="s">
        <v>306</v>
      </c>
      <c r="H461" s="9" t="s">
        <v>307</v>
      </c>
      <c r="I461" s="10" t="s">
        <v>308</v>
      </c>
      <c r="J461" s="10"/>
      <c r="K461" s="10"/>
      <c r="L461" s="7" t="s">
        <v>309</v>
      </c>
      <c r="M461" s="10"/>
      <c r="N461" s="10"/>
      <c r="O461" s="11"/>
      <c r="P461" s="10" t="s">
        <v>310</v>
      </c>
      <c r="Q461" s="10"/>
      <c r="R461" s="11"/>
    </row>
    <row r="462" spans="1:18" x14ac:dyDescent="0.15">
      <c r="A462" s="115" t="s">
        <v>520</v>
      </c>
      <c r="B462" s="118"/>
      <c r="C462" s="118"/>
      <c r="D462" s="121"/>
      <c r="E462" s="5"/>
      <c r="F462" s="5"/>
      <c r="G462" s="366" t="s">
        <v>217</v>
      </c>
      <c r="H462" s="107">
        <f>条件入力!T22</f>
        <v>1</v>
      </c>
      <c r="I462" s="700">
        <f>L479</f>
        <v>309300</v>
      </c>
      <c r="J462" s="701"/>
      <c r="K462" s="702"/>
      <c r="L462" s="700">
        <f>H462*I462</f>
        <v>309300</v>
      </c>
      <c r="M462" s="701"/>
      <c r="N462" s="701"/>
      <c r="O462" s="702"/>
      <c r="P462" s="5" t="s">
        <v>521</v>
      </c>
      <c r="Q462" s="5"/>
      <c r="R462" s="6"/>
    </row>
    <row r="463" spans="1:18" x14ac:dyDescent="0.15">
      <c r="A463" s="119" t="s">
        <v>522</v>
      </c>
      <c r="B463" s="118"/>
      <c r="C463" s="118"/>
      <c r="D463" s="121"/>
      <c r="E463" s="5"/>
      <c r="F463" s="5"/>
      <c r="G463" s="366" t="s">
        <v>213</v>
      </c>
      <c r="H463" s="107">
        <f>条件入力!T22</f>
        <v>1</v>
      </c>
      <c r="I463" s="700">
        <f>L487</f>
        <v>67600</v>
      </c>
      <c r="J463" s="701"/>
      <c r="K463" s="702"/>
      <c r="L463" s="700">
        <f>H463*I463</f>
        <v>67600</v>
      </c>
      <c r="M463" s="701"/>
      <c r="N463" s="701"/>
      <c r="O463" s="702"/>
      <c r="P463" s="5" t="s">
        <v>523</v>
      </c>
      <c r="Q463" s="5"/>
      <c r="R463" s="6"/>
    </row>
    <row r="464" spans="1:18" x14ac:dyDescent="0.15">
      <c r="A464" s="115" t="s">
        <v>524</v>
      </c>
      <c r="B464" s="118"/>
      <c r="C464" s="118"/>
      <c r="D464" s="121"/>
      <c r="E464" s="5"/>
      <c r="F464" s="5"/>
      <c r="G464" s="366" t="s">
        <v>217</v>
      </c>
      <c r="H464" s="107">
        <f>条件入力!T22</f>
        <v>1</v>
      </c>
      <c r="I464" s="700">
        <f>L498</f>
        <v>195250</v>
      </c>
      <c r="J464" s="701"/>
      <c r="K464" s="702"/>
      <c r="L464" s="700">
        <f>H464*I464</f>
        <v>195250</v>
      </c>
      <c r="M464" s="701"/>
      <c r="N464" s="701"/>
      <c r="O464" s="702"/>
      <c r="P464" s="5" t="s">
        <v>525</v>
      </c>
      <c r="Q464" s="5"/>
      <c r="R464" s="6"/>
    </row>
    <row r="465" spans="1:18" x14ac:dyDescent="0.15">
      <c r="A465" s="119" t="s">
        <v>184</v>
      </c>
      <c r="B465" s="118"/>
      <c r="C465" s="118"/>
      <c r="D465" s="121"/>
      <c r="E465" s="5"/>
      <c r="F465" s="5"/>
      <c r="G465" s="8"/>
      <c r="H465" s="8"/>
      <c r="I465" s="5"/>
      <c r="J465" s="5"/>
      <c r="K465" s="6"/>
      <c r="L465" s="700">
        <f>SUM(L462:O464)</f>
        <v>572150</v>
      </c>
      <c r="M465" s="701"/>
      <c r="N465" s="701"/>
      <c r="O465" s="702"/>
      <c r="P465" s="5"/>
      <c r="Q465" s="5"/>
      <c r="R465" s="6"/>
    </row>
    <row r="466" spans="1:18" x14ac:dyDescent="0.15">
      <c r="A466" s="114"/>
      <c r="B466" s="114"/>
      <c r="C466" s="114"/>
      <c r="D466" s="114"/>
    </row>
    <row r="467" spans="1:18" x14ac:dyDescent="0.15">
      <c r="A467" s="114"/>
      <c r="B467" s="114"/>
      <c r="C467" s="114"/>
      <c r="D467" s="114"/>
    </row>
    <row r="468" spans="1:18" x14ac:dyDescent="0.15">
      <c r="A468" s="114"/>
      <c r="B468" s="114"/>
      <c r="C468" s="114"/>
      <c r="D468" s="114"/>
    </row>
    <row r="469" spans="1:18" x14ac:dyDescent="0.15">
      <c r="A469" s="114"/>
      <c r="B469" s="114"/>
      <c r="C469" s="114"/>
      <c r="D469" s="114"/>
    </row>
    <row r="470" spans="1:18" x14ac:dyDescent="0.15">
      <c r="A470" s="114"/>
      <c r="B470" s="114"/>
      <c r="C470" s="114"/>
      <c r="D470" s="114"/>
    </row>
    <row r="471" spans="1:18" x14ac:dyDescent="0.15">
      <c r="A471" s="114" t="s">
        <v>526</v>
      </c>
      <c r="B471" s="114"/>
      <c r="C471" s="114"/>
      <c r="D471" s="114"/>
      <c r="Q471" s="1" t="s">
        <v>462</v>
      </c>
    </row>
    <row r="472" spans="1:18" x14ac:dyDescent="0.15">
      <c r="A472" s="115" t="s">
        <v>304</v>
      </c>
      <c r="B472" s="116"/>
      <c r="C472" s="116"/>
      <c r="D472" s="116"/>
      <c r="E472" s="736" t="s">
        <v>305</v>
      </c>
      <c r="F472" s="737"/>
      <c r="G472" s="9" t="s">
        <v>306</v>
      </c>
      <c r="H472" s="9" t="s">
        <v>307</v>
      </c>
      <c r="I472" s="10" t="s">
        <v>308</v>
      </c>
      <c r="J472" s="10"/>
      <c r="K472" s="10"/>
      <c r="L472" s="7" t="s">
        <v>309</v>
      </c>
      <c r="M472" s="10"/>
      <c r="N472" s="10"/>
      <c r="O472" s="11"/>
      <c r="P472" s="10" t="s">
        <v>310</v>
      </c>
      <c r="Q472" s="10"/>
      <c r="R472" s="11"/>
    </row>
    <row r="473" spans="1:18" x14ac:dyDescent="0.15">
      <c r="A473" s="119" t="s">
        <v>399</v>
      </c>
      <c r="B473" s="118"/>
      <c r="C473" s="118"/>
      <c r="D473" s="121"/>
      <c r="E473" s="5"/>
      <c r="F473" s="5"/>
      <c r="G473" s="366" t="s">
        <v>427</v>
      </c>
      <c r="H473" s="366">
        <f>IF(条件入力!I28=1,1.5,2)</f>
        <v>2</v>
      </c>
      <c r="I473" s="700">
        <f>労務単価!O51</f>
        <v>27800</v>
      </c>
      <c r="J473" s="701"/>
      <c r="K473" s="702"/>
      <c r="L473" s="700">
        <f t="shared" ref="L473:L478" si="9">H473*I473</f>
        <v>55600</v>
      </c>
      <c r="M473" s="701"/>
      <c r="N473" s="701"/>
      <c r="O473" s="702"/>
      <c r="P473" s="5"/>
      <c r="Q473" s="5"/>
      <c r="R473" s="6"/>
    </row>
    <row r="474" spans="1:18" x14ac:dyDescent="0.15">
      <c r="A474" s="119" t="s">
        <v>6</v>
      </c>
      <c r="B474" s="118"/>
      <c r="C474" s="118"/>
      <c r="D474" s="121"/>
      <c r="E474" s="5"/>
      <c r="F474" s="5"/>
      <c r="G474" s="366" t="s">
        <v>427</v>
      </c>
      <c r="H474" s="366">
        <f>IF(条件入力!I28=1,1.5,2)</f>
        <v>2</v>
      </c>
      <c r="I474" s="700">
        <f>労務単価!F51</f>
        <v>28600</v>
      </c>
      <c r="J474" s="701"/>
      <c r="K474" s="702"/>
      <c r="L474" s="700">
        <f t="shared" si="9"/>
        <v>57200</v>
      </c>
      <c r="M474" s="701"/>
      <c r="N474" s="701"/>
      <c r="O474" s="702"/>
      <c r="P474" s="5"/>
      <c r="Q474" s="5"/>
      <c r="R474" s="6"/>
    </row>
    <row r="475" spans="1:18" x14ac:dyDescent="0.15">
      <c r="A475" s="119" t="s">
        <v>5</v>
      </c>
      <c r="B475" s="118"/>
      <c r="C475" s="118"/>
      <c r="D475" s="121"/>
      <c r="E475" s="5"/>
      <c r="F475" s="5"/>
      <c r="G475" s="366" t="s">
        <v>427</v>
      </c>
      <c r="H475" s="366">
        <f>IF(条件入力!I28=1,2,IF(条件入力!I28=2,3,4))</f>
        <v>3</v>
      </c>
      <c r="I475" s="700">
        <f>労務単価!E51</f>
        <v>20900</v>
      </c>
      <c r="J475" s="701"/>
      <c r="K475" s="702"/>
      <c r="L475" s="700">
        <f t="shared" si="9"/>
        <v>62700</v>
      </c>
      <c r="M475" s="701"/>
      <c r="N475" s="701"/>
      <c r="O475" s="702"/>
      <c r="P475" s="5"/>
      <c r="Q475" s="5"/>
      <c r="R475" s="6"/>
    </row>
    <row r="476" spans="1:18" x14ac:dyDescent="0.15">
      <c r="A476" s="119" t="s">
        <v>401</v>
      </c>
      <c r="B476" s="118"/>
      <c r="C476" s="118"/>
      <c r="D476" s="121"/>
      <c r="E476" s="5"/>
      <c r="F476" s="5"/>
      <c r="G476" s="366" t="s">
        <v>195</v>
      </c>
      <c r="H476" s="366">
        <v>1</v>
      </c>
      <c r="I476" s="700">
        <f>IF(条件入力!I28=1,機械単価!D70,IF(条件入力!I28=2,機械単価!D72,機械単価!D73))</f>
        <v>44000</v>
      </c>
      <c r="J476" s="701"/>
      <c r="K476" s="702"/>
      <c r="L476" s="700">
        <f t="shared" si="9"/>
        <v>44000</v>
      </c>
      <c r="M476" s="701"/>
      <c r="N476" s="701"/>
      <c r="O476" s="702"/>
      <c r="P476" s="5"/>
      <c r="Q476" s="5"/>
      <c r="R476" s="6"/>
    </row>
    <row r="477" spans="1:18" x14ac:dyDescent="0.15">
      <c r="A477" s="119" t="s">
        <v>7</v>
      </c>
      <c r="B477" s="118"/>
      <c r="C477" s="118"/>
      <c r="D477" s="121"/>
      <c r="E477" s="5"/>
      <c r="F477" s="5"/>
      <c r="G477" s="366" t="s">
        <v>427</v>
      </c>
      <c r="H477" s="366">
        <f>IF(条件入力!I28=1,0.5,IF(条件入力!I28=2,1,2))</f>
        <v>1</v>
      </c>
      <c r="I477" s="700">
        <f>労務単価!G51</f>
        <v>27600</v>
      </c>
      <c r="J477" s="701"/>
      <c r="K477" s="702"/>
      <c r="L477" s="700">
        <f t="shared" si="9"/>
        <v>27600</v>
      </c>
      <c r="M477" s="701"/>
      <c r="N477" s="701"/>
      <c r="O477" s="702"/>
      <c r="P477" s="5"/>
      <c r="Q477" s="5"/>
      <c r="R477" s="6"/>
    </row>
    <row r="478" spans="1:18" x14ac:dyDescent="0.15">
      <c r="A478" s="119" t="s">
        <v>9</v>
      </c>
      <c r="B478" s="118"/>
      <c r="C478" s="118"/>
      <c r="D478" s="121"/>
      <c r="E478" s="5"/>
      <c r="F478" s="5"/>
      <c r="G478" s="366" t="s">
        <v>427</v>
      </c>
      <c r="H478" s="366">
        <f>IF(条件入力!I28=1,0.5,IF(条件入力!I28=2,2,1))</f>
        <v>2</v>
      </c>
      <c r="I478" s="700">
        <f>労務単価!I51</f>
        <v>31100</v>
      </c>
      <c r="J478" s="701"/>
      <c r="K478" s="702"/>
      <c r="L478" s="700">
        <f t="shared" si="9"/>
        <v>62200</v>
      </c>
      <c r="M478" s="701"/>
      <c r="N478" s="701"/>
      <c r="O478" s="702"/>
      <c r="P478" s="5"/>
      <c r="Q478" s="5"/>
      <c r="R478" s="6"/>
    </row>
    <row r="479" spans="1:18" x14ac:dyDescent="0.15">
      <c r="A479" s="119" t="s">
        <v>184</v>
      </c>
      <c r="B479" s="118"/>
      <c r="C479" s="118"/>
      <c r="D479" s="121"/>
      <c r="E479" s="5"/>
      <c r="F479" s="5"/>
      <c r="G479" s="8"/>
      <c r="H479" s="8"/>
      <c r="I479" s="5"/>
      <c r="J479" s="5"/>
      <c r="K479" s="6"/>
      <c r="L479" s="700">
        <f>SUM(L473:O478)</f>
        <v>309300</v>
      </c>
      <c r="M479" s="701"/>
      <c r="N479" s="701"/>
      <c r="O479" s="702"/>
      <c r="P479" s="5"/>
      <c r="Q479" s="5"/>
      <c r="R479" s="6"/>
    </row>
    <row r="480" spans="1:18" x14ac:dyDescent="0.15">
      <c r="A480" s="114"/>
      <c r="B480" s="114"/>
      <c r="C480" s="114"/>
      <c r="D480" s="114"/>
    </row>
    <row r="481" spans="1:18" x14ac:dyDescent="0.15">
      <c r="A481" s="114" t="s">
        <v>527</v>
      </c>
      <c r="B481" s="114"/>
      <c r="C481" s="114"/>
      <c r="D481" s="114"/>
      <c r="Q481" s="1" t="s">
        <v>515</v>
      </c>
    </row>
    <row r="482" spans="1:18" x14ac:dyDescent="0.15">
      <c r="A482" s="115" t="s">
        <v>304</v>
      </c>
      <c r="B482" s="116"/>
      <c r="C482" s="116"/>
      <c r="D482" s="116"/>
      <c r="E482" s="736" t="s">
        <v>305</v>
      </c>
      <c r="F482" s="737"/>
      <c r="G482" s="9" t="s">
        <v>306</v>
      </c>
      <c r="H482" s="9" t="s">
        <v>307</v>
      </c>
      <c r="I482" s="10" t="s">
        <v>308</v>
      </c>
      <c r="J482" s="10"/>
      <c r="K482" s="10"/>
      <c r="L482" s="7" t="s">
        <v>309</v>
      </c>
      <c r="M482" s="10"/>
      <c r="N482" s="10"/>
      <c r="O482" s="11"/>
      <c r="P482" s="10" t="s">
        <v>310</v>
      </c>
      <c r="Q482" s="10"/>
      <c r="R482" s="11"/>
    </row>
    <row r="483" spans="1:18" x14ac:dyDescent="0.15">
      <c r="A483" s="119" t="s">
        <v>399</v>
      </c>
      <c r="B483" s="118"/>
      <c r="C483" s="118"/>
      <c r="D483" s="121"/>
      <c r="E483" s="5"/>
      <c r="F483" s="5"/>
      <c r="G483" s="366" t="s">
        <v>427</v>
      </c>
      <c r="H483" s="366">
        <v>0.5</v>
      </c>
      <c r="I483" s="700">
        <f>労務単価!O51</f>
        <v>27800</v>
      </c>
      <c r="J483" s="701"/>
      <c r="K483" s="702"/>
      <c r="L483" s="700">
        <f>H483*I483</f>
        <v>13900</v>
      </c>
      <c r="M483" s="701"/>
      <c r="N483" s="701"/>
      <c r="O483" s="702"/>
      <c r="P483" s="5"/>
      <c r="Q483" s="5"/>
      <c r="R483" s="6"/>
    </row>
    <row r="484" spans="1:18" x14ac:dyDescent="0.15">
      <c r="A484" s="119" t="s">
        <v>5</v>
      </c>
      <c r="B484" s="118"/>
      <c r="C484" s="118"/>
      <c r="D484" s="121"/>
      <c r="E484" s="5"/>
      <c r="F484" s="5"/>
      <c r="G484" s="366" t="s">
        <v>427</v>
      </c>
      <c r="H484" s="366">
        <v>1</v>
      </c>
      <c r="I484" s="700">
        <f>労務単価!E51</f>
        <v>20900</v>
      </c>
      <c r="J484" s="701"/>
      <c r="K484" s="702"/>
      <c r="L484" s="700">
        <f>H484*I484</f>
        <v>20900</v>
      </c>
      <c r="M484" s="701"/>
      <c r="N484" s="701"/>
      <c r="O484" s="702"/>
      <c r="P484" s="5"/>
      <c r="Q484" s="5"/>
      <c r="R484" s="6"/>
    </row>
    <row r="485" spans="1:18" x14ac:dyDescent="0.15">
      <c r="A485" s="119" t="s">
        <v>6</v>
      </c>
      <c r="B485" s="118"/>
      <c r="C485" s="118"/>
      <c r="D485" s="121"/>
      <c r="E485" s="5"/>
      <c r="F485" s="5"/>
      <c r="G485" s="366" t="s">
        <v>427</v>
      </c>
      <c r="H485" s="366">
        <v>0.5</v>
      </c>
      <c r="I485" s="700">
        <f>労務単価!F51</f>
        <v>28600</v>
      </c>
      <c r="J485" s="701"/>
      <c r="K485" s="702"/>
      <c r="L485" s="700">
        <f>H485*I485</f>
        <v>14300</v>
      </c>
      <c r="M485" s="701"/>
      <c r="N485" s="701"/>
      <c r="O485" s="702"/>
      <c r="P485" s="5"/>
      <c r="Q485" s="5"/>
      <c r="R485" s="6"/>
    </row>
    <row r="486" spans="1:18" x14ac:dyDescent="0.15">
      <c r="A486" s="119" t="s">
        <v>401</v>
      </c>
      <c r="B486" s="118"/>
      <c r="C486" s="118"/>
      <c r="D486" s="121"/>
      <c r="E486" s="5" t="s">
        <v>402</v>
      </c>
      <c r="F486" s="5"/>
      <c r="G486" s="366" t="s">
        <v>195</v>
      </c>
      <c r="H486" s="366">
        <v>0.5</v>
      </c>
      <c r="I486" s="700">
        <f>機械単価!D70</f>
        <v>37000</v>
      </c>
      <c r="J486" s="701"/>
      <c r="K486" s="702"/>
      <c r="L486" s="700">
        <f>H486*I486</f>
        <v>18500</v>
      </c>
      <c r="M486" s="701"/>
      <c r="N486" s="701"/>
      <c r="O486" s="702"/>
      <c r="P486" s="5"/>
      <c r="Q486" s="5"/>
      <c r="R486" s="6"/>
    </row>
    <row r="487" spans="1:18" x14ac:dyDescent="0.15">
      <c r="A487" s="119" t="s">
        <v>184</v>
      </c>
      <c r="B487" s="118"/>
      <c r="C487" s="118"/>
      <c r="D487" s="121"/>
      <c r="E487" s="5"/>
      <c r="F487" s="5"/>
      <c r="G487" s="8"/>
      <c r="H487" s="8"/>
      <c r="I487" s="5"/>
      <c r="J487" s="5"/>
      <c r="K487" s="6"/>
      <c r="L487" s="700">
        <f>SUM(L483:O486)</f>
        <v>67600</v>
      </c>
      <c r="M487" s="701"/>
      <c r="N487" s="701"/>
      <c r="O487" s="702"/>
      <c r="P487" s="5"/>
      <c r="Q487" s="5"/>
      <c r="R487" s="6"/>
    </row>
    <row r="488" spans="1:18" x14ac:dyDescent="0.15">
      <c r="A488" s="114"/>
      <c r="B488" s="114"/>
      <c r="C488" s="114"/>
      <c r="D488" s="114"/>
    </row>
    <row r="489" spans="1:18" x14ac:dyDescent="0.15">
      <c r="A489" s="114" t="s">
        <v>528</v>
      </c>
      <c r="B489" s="114"/>
      <c r="C489" s="114"/>
      <c r="D489" s="114"/>
      <c r="Q489" s="1" t="s">
        <v>462</v>
      </c>
    </row>
    <row r="490" spans="1:18" x14ac:dyDescent="0.15">
      <c r="A490" s="115" t="s">
        <v>304</v>
      </c>
      <c r="B490" s="116"/>
      <c r="C490" s="116"/>
      <c r="D490" s="116"/>
      <c r="E490" s="736" t="s">
        <v>305</v>
      </c>
      <c r="F490" s="737"/>
      <c r="G490" s="9" t="s">
        <v>306</v>
      </c>
      <c r="H490" s="9" t="s">
        <v>307</v>
      </c>
      <c r="I490" s="10" t="s">
        <v>308</v>
      </c>
      <c r="J490" s="10"/>
      <c r="K490" s="10"/>
      <c r="L490" s="7" t="s">
        <v>309</v>
      </c>
      <c r="M490" s="10"/>
      <c r="N490" s="10"/>
      <c r="O490" s="11"/>
      <c r="P490" s="10" t="s">
        <v>310</v>
      </c>
      <c r="Q490" s="10"/>
      <c r="R490" s="11"/>
    </row>
    <row r="491" spans="1:18" x14ac:dyDescent="0.15">
      <c r="A491" s="119" t="s">
        <v>399</v>
      </c>
      <c r="B491" s="118"/>
      <c r="C491" s="118"/>
      <c r="D491" s="121"/>
      <c r="E491" s="5"/>
      <c r="F491" s="5"/>
      <c r="G491" s="366" t="s">
        <v>427</v>
      </c>
      <c r="H491" s="366">
        <v>1.5</v>
      </c>
      <c r="I491" s="700">
        <f>労務単価!O51</f>
        <v>27800</v>
      </c>
      <c r="J491" s="701"/>
      <c r="K491" s="702"/>
      <c r="L491" s="700">
        <f>H491*I491</f>
        <v>41700</v>
      </c>
      <c r="M491" s="701"/>
      <c r="N491" s="701"/>
      <c r="O491" s="702"/>
      <c r="P491" s="5"/>
      <c r="Q491" s="5"/>
      <c r="R491" s="6"/>
    </row>
    <row r="492" spans="1:18" x14ac:dyDescent="0.15">
      <c r="A492" s="119" t="s">
        <v>5</v>
      </c>
      <c r="B492" s="118"/>
      <c r="C492" s="118"/>
      <c r="D492" s="121"/>
      <c r="E492" s="5"/>
      <c r="F492" s="5"/>
      <c r="G492" s="366" t="s">
        <v>427</v>
      </c>
      <c r="H492" s="366">
        <v>1.5</v>
      </c>
      <c r="I492" s="700">
        <f>労務単価!E51</f>
        <v>20900</v>
      </c>
      <c r="J492" s="701"/>
      <c r="K492" s="702"/>
      <c r="L492" s="700">
        <f t="shared" ref="L492:L497" si="10">H492*I492</f>
        <v>31350</v>
      </c>
      <c r="M492" s="701"/>
      <c r="N492" s="701"/>
      <c r="O492" s="702"/>
      <c r="P492" s="5"/>
      <c r="Q492" s="5"/>
      <c r="R492" s="6"/>
    </row>
    <row r="493" spans="1:18" x14ac:dyDescent="0.15">
      <c r="A493" s="119" t="s">
        <v>9</v>
      </c>
      <c r="B493" s="118"/>
      <c r="C493" s="118"/>
      <c r="D493" s="121"/>
      <c r="E493" s="5"/>
      <c r="F493" s="5"/>
      <c r="G493" s="366" t="s">
        <v>427</v>
      </c>
      <c r="H493" s="366">
        <v>1</v>
      </c>
      <c r="I493" s="700">
        <f>労務単価!I51</f>
        <v>31100</v>
      </c>
      <c r="J493" s="701"/>
      <c r="K493" s="702"/>
      <c r="L493" s="700">
        <f t="shared" si="10"/>
        <v>31100</v>
      </c>
      <c r="M493" s="701"/>
      <c r="N493" s="701"/>
      <c r="O493" s="702"/>
      <c r="P493" s="5"/>
      <c r="Q493" s="5"/>
      <c r="R493" s="6"/>
    </row>
    <row r="494" spans="1:18" x14ac:dyDescent="0.15">
      <c r="A494" s="119" t="s">
        <v>7</v>
      </c>
      <c r="B494" s="118"/>
      <c r="C494" s="118"/>
      <c r="D494" s="121"/>
      <c r="E494" s="5"/>
      <c r="F494" s="5"/>
      <c r="G494" s="366" t="s">
        <v>427</v>
      </c>
      <c r="H494" s="366">
        <v>1</v>
      </c>
      <c r="I494" s="700">
        <f>労務単価!G51</f>
        <v>27600</v>
      </c>
      <c r="J494" s="701"/>
      <c r="K494" s="702"/>
      <c r="L494" s="700">
        <f t="shared" si="10"/>
        <v>27600</v>
      </c>
      <c r="M494" s="701"/>
      <c r="N494" s="701"/>
      <c r="O494" s="702"/>
      <c r="P494" s="5"/>
      <c r="Q494" s="5"/>
      <c r="R494" s="6"/>
    </row>
    <row r="495" spans="1:18" x14ac:dyDescent="0.15">
      <c r="A495" s="119" t="s">
        <v>516</v>
      </c>
      <c r="B495" s="118"/>
      <c r="C495" s="118"/>
      <c r="D495" s="121"/>
      <c r="E495" s="5"/>
      <c r="F495" s="5"/>
      <c r="G495" s="366" t="s">
        <v>427</v>
      </c>
      <c r="H495" s="366">
        <v>1</v>
      </c>
      <c r="I495" s="700">
        <f>労務単価!P51</f>
        <v>25500</v>
      </c>
      <c r="J495" s="701"/>
      <c r="K495" s="702"/>
      <c r="L495" s="700">
        <f t="shared" si="10"/>
        <v>25500</v>
      </c>
      <c r="M495" s="701"/>
      <c r="N495" s="701"/>
      <c r="O495" s="702"/>
      <c r="P495" s="5"/>
      <c r="Q495" s="5"/>
      <c r="R495" s="6"/>
    </row>
    <row r="496" spans="1:18" x14ac:dyDescent="0.15">
      <c r="A496" s="119" t="s">
        <v>431</v>
      </c>
      <c r="B496" s="118"/>
      <c r="C496" s="118"/>
      <c r="D496" s="121"/>
      <c r="E496" s="5" t="s">
        <v>529</v>
      </c>
      <c r="F496" s="5"/>
      <c r="G496" s="366" t="s">
        <v>195</v>
      </c>
      <c r="H496" s="366">
        <v>1</v>
      </c>
      <c r="I496" s="700">
        <f>機械単価!F71</f>
        <v>1000</v>
      </c>
      <c r="J496" s="701"/>
      <c r="K496" s="702"/>
      <c r="L496" s="700">
        <f t="shared" si="10"/>
        <v>1000</v>
      </c>
      <c r="M496" s="701"/>
      <c r="N496" s="701"/>
      <c r="O496" s="702"/>
      <c r="P496" s="5"/>
      <c r="Q496" s="5"/>
      <c r="R496" s="6"/>
    </row>
    <row r="497" spans="1:18" x14ac:dyDescent="0.15">
      <c r="A497" s="119" t="s">
        <v>401</v>
      </c>
      <c r="B497" s="118"/>
      <c r="C497" s="118"/>
      <c r="D497" s="121"/>
      <c r="E497" s="5" t="s">
        <v>402</v>
      </c>
      <c r="F497" s="5"/>
      <c r="G497" s="366" t="s">
        <v>195</v>
      </c>
      <c r="H497" s="366">
        <v>1</v>
      </c>
      <c r="I497" s="700">
        <f>機械単価!D70</f>
        <v>37000</v>
      </c>
      <c r="J497" s="701"/>
      <c r="K497" s="702"/>
      <c r="L497" s="700">
        <f t="shared" si="10"/>
        <v>37000</v>
      </c>
      <c r="M497" s="701"/>
      <c r="N497" s="701"/>
      <c r="O497" s="702"/>
      <c r="P497" s="5"/>
      <c r="Q497" s="5"/>
      <c r="R497" s="6"/>
    </row>
    <row r="498" spans="1:18" x14ac:dyDescent="0.15">
      <c r="A498" s="119" t="s">
        <v>184</v>
      </c>
      <c r="B498" s="118"/>
      <c r="C498" s="118"/>
      <c r="D498" s="121"/>
      <c r="E498" s="5"/>
      <c r="F498" s="5"/>
      <c r="G498" s="8"/>
      <c r="H498" s="8"/>
      <c r="I498" s="95"/>
      <c r="J498" s="95"/>
      <c r="K498" s="96"/>
      <c r="L498" s="700">
        <f>SUM(L491:O497)</f>
        <v>195250</v>
      </c>
      <c r="M498" s="701"/>
      <c r="N498" s="701"/>
      <c r="O498" s="702"/>
      <c r="P498" s="5"/>
      <c r="Q498" s="5"/>
      <c r="R498" s="6"/>
    </row>
    <row r="499" spans="1:18" x14ac:dyDescent="0.15">
      <c r="A499" s="114"/>
      <c r="B499" s="114"/>
      <c r="C499" s="114"/>
      <c r="D499" s="114"/>
    </row>
    <row r="500" spans="1:18" x14ac:dyDescent="0.15">
      <c r="A500" s="114" t="s">
        <v>530</v>
      </c>
      <c r="B500" s="114"/>
      <c r="C500" s="114"/>
      <c r="D500" s="114"/>
      <c r="Q500" s="1" t="s">
        <v>531</v>
      </c>
    </row>
    <row r="501" spans="1:18" x14ac:dyDescent="0.15">
      <c r="A501" s="115" t="s">
        <v>304</v>
      </c>
      <c r="B501" s="116"/>
      <c r="C501" s="116"/>
      <c r="D501" s="116"/>
      <c r="E501" s="736" t="s">
        <v>305</v>
      </c>
      <c r="F501" s="737"/>
      <c r="G501" s="9" t="s">
        <v>306</v>
      </c>
      <c r="H501" s="9" t="s">
        <v>307</v>
      </c>
      <c r="I501" s="10" t="s">
        <v>308</v>
      </c>
      <c r="J501" s="10"/>
      <c r="K501" s="10"/>
      <c r="L501" s="7" t="s">
        <v>309</v>
      </c>
      <c r="M501" s="10"/>
      <c r="N501" s="10"/>
      <c r="O501" s="11"/>
      <c r="P501" s="10" t="s">
        <v>310</v>
      </c>
      <c r="Q501" s="10"/>
      <c r="R501" s="11"/>
    </row>
    <row r="502" spans="1:18" x14ac:dyDescent="0.15">
      <c r="A502" s="119" t="s">
        <v>532</v>
      </c>
      <c r="B502" s="118"/>
      <c r="C502" s="118"/>
      <c r="D502" s="121"/>
      <c r="E502" s="5"/>
      <c r="F502" s="5"/>
      <c r="G502" s="366" t="s">
        <v>397</v>
      </c>
      <c r="H502" s="366">
        <v>4.7</v>
      </c>
      <c r="I502" s="700">
        <f>機械単価!H81</f>
        <v>70</v>
      </c>
      <c r="J502" s="701"/>
      <c r="K502" s="702"/>
      <c r="L502" s="700">
        <f>ROUND(H502*I502,0)</f>
        <v>329</v>
      </c>
      <c r="M502" s="701"/>
      <c r="N502" s="701"/>
      <c r="O502" s="702"/>
      <c r="P502" s="5"/>
      <c r="Q502" s="5"/>
      <c r="R502" s="6"/>
    </row>
    <row r="503" spans="1:18" x14ac:dyDescent="0.15">
      <c r="A503" s="119" t="s">
        <v>533</v>
      </c>
      <c r="B503" s="118"/>
      <c r="C503" s="118"/>
      <c r="D503" s="121"/>
      <c r="E503" s="5"/>
      <c r="F503" s="5"/>
      <c r="G503" s="366" t="s">
        <v>322</v>
      </c>
      <c r="H503" s="366">
        <v>1</v>
      </c>
      <c r="I503" s="700"/>
      <c r="J503" s="701"/>
      <c r="K503" s="702"/>
      <c r="L503" s="700">
        <f>ROUND(L502*0.2,0)</f>
        <v>66</v>
      </c>
      <c r="M503" s="701"/>
      <c r="N503" s="701"/>
      <c r="O503" s="702"/>
      <c r="P503" s="5" t="s">
        <v>534</v>
      </c>
      <c r="Q503" s="5"/>
      <c r="R503" s="6"/>
    </row>
    <row r="504" spans="1:18" x14ac:dyDescent="0.15">
      <c r="A504" s="119" t="s">
        <v>11</v>
      </c>
      <c r="B504" s="118"/>
      <c r="C504" s="118"/>
      <c r="D504" s="121"/>
      <c r="E504" s="5"/>
      <c r="F504" s="5"/>
      <c r="G504" s="366" t="s">
        <v>427</v>
      </c>
      <c r="H504" s="366">
        <v>0.16</v>
      </c>
      <c r="I504" s="700">
        <f>労務単価!K51</f>
        <v>21500</v>
      </c>
      <c r="J504" s="701"/>
      <c r="K504" s="702"/>
      <c r="L504" s="700">
        <f>ROUND(H504*I504,0)</f>
        <v>3440</v>
      </c>
      <c r="M504" s="701"/>
      <c r="N504" s="701"/>
      <c r="O504" s="702"/>
      <c r="P504" s="5"/>
      <c r="Q504" s="5"/>
      <c r="R504" s="6"/>
    </row>
    <row r="505" spans="1:18" x14ac:dyDescent="0.15">
      <c r="A505" s="119" t="s">
        <v>220</v>
      </c>
      <c r="B505" s="118"/>
      <c r="C505" s="118"/>
      <c r="D505" s="121"/>
      <c r="E505" s="5"/>
      <c r="F505" s="5"/>
      <c r="G505" s="366" t="s">
        <v>535</v>
      </c>
      <c r="H505" s="366">
        <v>1</v>
      </c>
      <c r="I505" s="700">
        <f>IF(条件入力!I24=2,機械単価!D80,機械単価!D81)</f>
        <v>919</v>
      </c>
      <c r="J505" s="701"/>
      <c r="K505" s="702"/>
      <c r="L505" s="700">
        <f>ROUND(H505*I505,0)</f>
        <v>919</v>
      </c>
      <c r="M505" s="701"/>
      <c r="N505" s="701"/>
      <c r="O505" s="702"/>
      <c r="P505" s="5"/>
      <c r="Q505" s="5"/>
      <c r="R505" s="6"/>
    </row>
    <row r="506" spans="1:18" x14ac:dyDescent="0.15">
      <c r="A506" s="119" t="s">
        <v>536</v>
      </c>
      <c r="B506" s="118"/>
      <c r="C506" s="118"/>
      <c r="D506" s="121"/>
      <c r="E506" s="5"/>
      <c r="F506" s="5"/>
      <c r="G506" s="366" t="s">
        <v>535</v>
      </c>
      <c r="H506" s="366">
        <v>1</v>
      </c>
      <c r="I506" s="700">
        <f>IF(条件入力!I23=3.1,895,918)</f>
        <v>895</v>
      </c>
      <c r="J506" s="701"/>
      <c r="K506" s="702"/>
      <c r="L506" s="700">
        <f>ROUND(H506*I506,0)</f>
        <v>895</v>
      </c>
      <c r="M506" s="701"/>
      <c r="N506" s="701"/>
      <c r="O506" s="702"/>
      <c r="P506" s="5"/>
      <c r="Q506" s="5"/>
      <c r="R506" s="6"/>
    </row>
    <row r="507" spans="1:18" x14ac:dyDescent="0.15">
      <c r="A507" s="119" t="s">
        <v>184</v>
      </c>
      <c r="B507" s="118"/>
      <c r="C507" s="118"/>
      <c r="D507" s="121"/>
      <c r="E507" s="5"/>
      <c r="F507" s="5"/>
      <c r="G507" s="366"/>
      <c r="H507" s="366"/>
      <c r="I507" s="700"/>
      <c r="J507" s="701"/>
      <c r="K507" s="702"/>
      <c r="L507" s="700">
        <f>SUM(L502:O506)</f>
        <v>5649</v>
      </c>
      <c r="M507" s="701"/>
      <c r="N507" s="701"/>
      <c r="O507" s="702"/>
      <c r="P507" s="5" t="s">
        <v>537</v>
      </c>
      <c r="Q507" s="5"/>
      <c r="R507" s="6"/>
    </row>
    <row r="508" spans="1:18" x14ac:dyDescent="0.15">
      <c r="A508" s="119" t="s">
        <v>538</v>
      </c>
      <c r="B508" s="118"/>
      <c r="C508" s="118"/>
      <c r="D508" s="121"/>
      <c r="E508" s="5"/>
      <c r="F508" s="5"/>
      <c r="G508" s="366"/>
      <c r="H508" s="366"/>
      <c r="I508" s="700"/>
      <c r="J508" s="701"/>
      <c r="K508" s="702"/>
      <c r="L508" s="700">
        <f>ROUND(IF(条件入力!I24=2,L507/((60/(条件入力!I27*4.8))*0.6*0.9),L507/((60/(条件入力!I27*4.8))*1.2*0.9)),0)</f>
        <v>12553</v>
      </c>
      <c r="M508" s="701"/>
      <c r="N508" s="701"/>
      <c r="O508" s="702"/>
      <c r="P508" s="12"/>
      <c r="Q508" s="5"/>
      <c r="R508" s="6"/>
    </row>
    <row r="509" spans="1:18" x14ac:dyDescent="0.15">
      <c r="A509" s="119" t="s">
        <v>539</v>
      </c>
      <c r="B509" s="118"/>
      <c r="C509" s="118"/>
      <c r="D509" s="121"/>
      <c r="E509" s="5"/>
      <c r="F509" s="5"/>
      <c r="G509" s="366" t="s">
        <v>413</v>
      </c>
      <c r="H509" s="366">
        <v>1</v>
      </c>
      <c r="I509" s="700">
        <f>条件入力!D24</f>
        <v>0</v>
      </c>
      <c r="J509" s="701"/>
      <c r="K509" s="702"/>
      <c r="L509" s="700">
        <f>ROUND(H509*I509,0)</f>
        <v>0</v>
      </c>
      <c r="M509" s="701"/>
      <c r="N509" s="701"/>
      <c r="O509" s="702"/>
      <c r="P509" s="5"/>
      <c r="Q509" s="5"/>
      <c r="R509" s="6"/>
    </row>
    <row r="510" spans="1:18" x14ac:dyDescent="0.15">
      <c r="A510" s="119" t="s">
        <v>266</v>
      </c>
      <c r="B510" s="118"/>
      <c r="C510" s="118"/>
      <c r="D510" s="121"/>
      <c r="E510" s="5"/>
      <c r="F510" s="5"/>
      <c r="G510" s="8"/>
      <c r="H510" s="8"/>
      <c r="I510" s="451"/>
      <c r="J510" s="451"/>
      <c r="K510" s="452"/>
      <c r="L510" s="700">
        <f>SUM(L508:O509)</f>
        <v>12553</v>
      </c>
      <c r="M510" s="701"/>
      <c r="N510" s="701"/>
      <c r="O510" s="702"/>
      <c r="P510" s="5"/>
      <c r="Q510" s="5"/>
      <c r="R510" s="6"/>
    </row>
    <row r="511" spans="1:18" x14ac:dyDescent="0.15">
      <c r="A511" s="114"/>
      <c r="B511" s="114"/>
      <c r="C511" s="114"/>
      <c r="D511" s="114"/>
    </row>
    <row r="512" spans="1:18" x14ac:dyDescent="0.15">
      <c r="A512" s="114" t="s">
        <v>540</v>
      </c>
      <c r="B512" s="114"/>
      <c r="C512" s="114"/>
      <c r="D512" s="114"/>
      <c r="Q512" s="1" t="s">
        <v>531</v>
      </c>
    </row>
    <row r="513" spans="1:18" x14ac:dyDescent="0.15">
      <c r="A513" s="115" t="s">
        <v>304</v>
      </c>
      <c r="B513" s="116"/>
      <c r="C513" s="116"/>
      <c r="D513" s="116"/>
      <c r="E513" s="736" t="s">
        <v>305</v>
      </c>
      <c r="F513" s="737"/>
      <c r="G513" s="9" t="s">
        <v>306</v>
      </c>
      <c r="H513" s="9" t="s">
        <v>307</v>
      </c>
      <c r="I513" s="10" t="s">
        <v>308</v>
      </c>
      <c r="J513" s="10"/>
      <c r="K513" s="10"/>
      <c r="L513" s="7" t="s">
        <v>309</v>
      </c>
      <c r="M513" s="10"/>
      <c r="N513" s="10"/>
      <c r="O513" s="11"/>
      <c r="P513" s="10" t="s">
        <v>310</v>
      </c>
      <c r="Q513" s="10"/>
      <c r="R513" s="11"/>
    </row>
    <row r="514" spans="1:18" x14ac:dyDescent="0.15">
      <c r="A514" s="119" t="s">
        <v>532</v>
      </c>
      <c r="B514" s="118"/>
      <c r="C514" s="118"/>
      <c r="D514" s="121"/>
      <c r="E514" s="5"/>
      <c r="F514" s="5"/>
      <c r="G514" s="366" t="s">
        <v>397</v>
      </c>
      <c r="H514" s="366">
        <f>IF(条件入力!I23=3.1,7.4,12)</f>
        <v>7.4</v>
      </c>
      <c r="I514" s="700">
        <f>機械単価!H81</f>
        <v>70</v>
      </c>
      <c r="J514" s="701"/>
      <c r="K514" s="702"/>
      <c r="L514" s="700">
        <f>ROUND(H514*I514,0)</f>
        <v>518</v>
      </c>
      <c r="M514" s="701"/>
      <c r="N514" s="701"/>
      <c r="O514" s="702"/>
      <c r="P514" s="5"/>
      <c r="Q514" s="5"/>
      <c r="R514" s="6"/>
    </row>
    <row r="515" spans="1:18" x14ac:dyDescent="0.15">
      <c r="A515" s="119" t="s">
        <v>533</v>
      </c>
      <c r="B515" s="118"/>
      <c r="C515" s="118"/>
      <c r="D515" s="121"/>
      <c r="E515" s="5"/>
      <c r="F515" s="5"/>
      <c r="G515" s="366" t="s">
        <v>322</v>
      </c>
      <c r="H515" s="366">
        <v>1</v>
      </c>
      <c r="I515" s="700"/>
      <c r="J515" s="701"/>
      <c r="K515" s="702"/>
      <c r="L515" s="700">
        <f>ROUND(L514*0.2,0)</f>
        <v>104</v>
      </c>
      <c r="M515" s="701"/>
      <c r="N515" s="701"/>
      <c r="O515" s="702"/>
      <c r="P515" s="5" t="s">
        <v>534</v>
      </c>
      <c r="Q515" s="5"/>
      <c r="R515" s="6"/>
    </row>
    <row r="516" spans="1:18" x14ac:dyDescent="0.15">
      <c r="A516" s="119" t="s">
        <v>11</v>
      </c>
      <c r="B516" s="118"/>
      <c r="C516" s="118"/>
      <c r="D516" s="121"/>
      <c r="E516" s="5"/>
      <c r="F516" s="5"/>
      <c r="G516" s="366" t="s">
        <v>427</v>
      </c>
      <c r="H516" s="366">
        <v>0.15</v>
      </c>
      <c r="I516" s="700">
        <f>労務単価!K51</f>
        <v>21500</v>
      </c>
      <c r="J516" s="701"/>
      <c r="K516" s="702"/>
      <c r="L516" s="700">
        <f>ROUND(H516*I516,0)</f>
        <v>3225</v>
      </c>
      <c r="M516" s="701"/>
      <c r="N516" s="701"/>
      <c r="O516" s="702"/>
      <c r="P516" s="5"/>
      <c r="Q516" s="5"/>
      <c r="R516" s="6"/>
    </row>
    <row r="517" spans="1:18" x14ac:dyDescent="0.15">
      <c r="A517" s="119" t="s">
        <v>541</v>
      </c>
      <c r="B517" s="118"/>
      <c r="C517" s="118"/>
      <c r="D517" s="121"/>
      <c r="E517" s="5"/>
      <c r="F517" s="5"/>
      <c r="G517" s="366" t="s">
        <v>535</v>
      </c>
      <c r="H517" s="366">
        <v>1</v>
      </c>
      <c r="I517" s="700">
        <f>IF(条件入力!I23=3.1,機械単価!D85,機械単価!D86)</f>
        <v>2200</v>
      </c>
      <c r="J517" s="701"/>
      <c r="K517" s="702"/>
      <c r="L517" s="700">
        <f>ROUND(H517*I517,0)</f>
        <v>2200</v>
      </c>
      <c r="M517" s="701"/>
      <c r="N517" s="701"/>
      <c r="O517" s="702"/>
      <c r="P517" s="5"/>
      <c r="Q517" s="5"/>
      <c r="R517" s="6"/>
    </row>
    <row r="518" spans="1:18" x14ac:dyDescent="0.15">
      <c r="A518" s="119" t="s">
        <v>184</v>
      </c>
      <c r="B518" s="118"/>
      <c r="C518" s="118"/>
      <c r="D518" s="121"/>
      <c r="E518" s="5"/>
      <c r="F518" s="5"/>
      <c r="G518" s="366"/>
      <c r="H518" s="366"/>
      <c r="I518" s="700"/>
      <c r="J518" s="701"/>
      <c r="K518" s="702"/>
      <c r="L518" s="700">
        <f>SUM(L514:O517)</f>
        <v>6047</v>
      </c>
      <c r="M518" s="701"/>
      <c r="N518" s="701"/>
      <c r="O518" s="702"/>
      <c r="P518" s="5" t="s">
        <v>537</v>
      </c>
      <c r="Q518" s="5"/>
      <c r="R518" s="6"/>
    </row>
    <row r="519" spans="1:18" x14ac:dyDescent="0.15">
      <c r="A519" s="119" t="s">
        <v>542</v>
      </c>
      <c r="B519" s="118"/>
      <c r="C519" s="118"/>
      <c r="D519" s="121"/>
      <c r="E519" s="5"/>
      <c r="F519" s="5"/>
      <c r="G519" s="366"/>
      <c r="H519" s="366"/>
      <c r="I519" s="700"/>
      <c r="J519" s="701"/>
      <c r="K519" s="702"/>
      <c r="L519" s="700">
        <f>ROUND(IF(条件入力!I23=3.1,L507/((60/(条件入力!I27*4.8+50))*3.1*0.9),L507/((60/(条件入力!I27*4.8+70))*6*0.9)),0)</f>
        <v>4117</v>
      </c>
      <c r="M519" s="701"/>
      <c r="N519" s="701"/>
      <c r="O519" s="702"/>
      <c r="P519" s="12" t="s">
        <v>543</v>
      </c>
      <c r="Q519" s="5"/>
      <c r="R519" s="6"/>
    </row>
    <row r="520" spans="1:18" x14ac:dyDescent="0.15">
      <c r="A520" s="119" t="s">
        <v>539</v>
      </c>
      <c r="B520" s="118"/>
      <c r="C520" s="118"/>
      <c r="D520" s="121"/>
      <c r="E520" s="5"/>
      <c r="F520" s="5"/>
      <c r="G520" s="366" t="s">
        <v>413</v>
      </c>
      <c r="H520" s="366">
        <v>1</v>
      </c>
      <c r="I520" s="700">
        <f>条件入力!D25</f>
        <v>0</v>
      </c>
      <c r="J520" s="701"/>
      <c r="K520" s="702"/>
      <c r="L520" s="700">
        <f>ROUND(H520*I520,0)</f>
        <v>0</v>
      </c>
      <c r="M520" s="701"/>
      <c r="N520" s="701"/>
      <c r="O520" s="702"/>
      <c r="P520" s="5"/>
      <c r="Q520" s="5"/>
      <c r="R520" s="6"/>
    </row>
    <row r="521" spans="1:18" x14ac:dyDescent="0.15">
      <c r="A521" s="119" t="s">
        <v>266</v>
      </c>
      <c r="B521" s="118"/>
      <c r="C521" s="118"/>
      <c r="D521" s="121"/>
      <c r="E521" s="5"/>
      <c r="F521" s="5"/>
      <c r="G521" s="8"/>
      <c r="H521" s="8"/>
      <c r="I521" s="451"/>
      <c r="J521" s="451"/>
      <c r="K521" s="452"/>
      <c r="L521" s="700">
        <f>SUM(L519:O520)</f>
        <v>4117</v>
      </c>
      <c r="M521" s="701"/>
      <c r="N521" s="701"/>
      <c r="O521" s="702"/>
      <c r="P521" s="5"/>
      <c r="Q521" s="5"/>
      <c r="R521" s="6"/>
    </row>
    <row r="522" spans="1:18" x14ac:dyDescent="0.15">
      <c r="A522" s="114"/>
      <c r="B522" s="114"/>
      <c r="C522" s="114"/>
      <c r="D522" s="114"/>
    </row>
    <row r="523" spans="1:18" x14ac:dyDescent="0.15">
      <c r="A523" s="114"/>
      <c r="B523" s="114"/>
      <c r="C523" s="114"/>
      <c r="D523" s="114"/>
    </row>
    <row r="524" spans="1:18" x14ac:dyDescent="0.15">
      <c r="A524" s="114"/>
      <c r="B524" s="114"/>
      <c r="C524" s="114"/>
      <c r="D524" s="114"/>
    </row>
    <row r="525" spans="1:18" x14ac:dyDescent="0.15">
      <c r="A525" s="114"/>
      <c r="B525" s="114"/>
      <c r="C525" s="114"/>
      <c r="D525" s="114"/>
    </row>
    <row r="526" spans="1:18" x14ac:dyDescent="0.15">
      <c r="A526" s="114"/>
      <c r="B526" s="114"/>
      <c r="C526" s="114"/>
      <c r="D526" s="114"/>
    </row>
    <row r="527" spans="1:18" x14ac:dyDescent="0.15">
      <c r="A527" s="114" t="s">
        <v>544</v>
      </c>
      <c r="B527" s="114"/>
      <c r="C527" s="114"/>
      <c r="D527" s="114"/>
      <c r="Q527" s="1" t="s">
        <v>303</v>
      </c>
    </row>
    <row r="528" spans="1:18" x14ac:dyDescent="0.15">
      <c r="A528" s="115" t="s">
        <v>304</v>
      </c>
      <c r="B528" s="116"/>
      <c r="C528" s="116"/>
      <c r="D528" s="116"/>
      <c r="E528" s="736" t="s">
        <v>305</v>
      </c>
      <c r="F528" s="737"/>
      <c r="G528" s="9" t="s">
        <v>306</v>
      </c>
      <c r="H528" s="9" t="s">
        <v>307</v>
      </c>
      <c r="I528" s="10" t="s">
        <v>308</v>
      </c>
      <c r="J528" s="10"/>
      <c r="K528" s="10"/>
      <c r="L528" s="7" t="s">
        <v>309</v>
      </c>
      <c r="M528" s="10"/>
      <c r="N528" s="10"/>
      <c r="O528" s="11"/>
      <c r="P528" s="10" t="s">
        <v>310</v>
      </c>
      <c r="Q528" s="10"/>
      <c r="R528" s="11"/>
    </row>
    <row r="529" spans="1:18" x14ac:dyDescent="0.15">
      <c r="A529" s="119" t="s">
        <v>545</v>
      </c>
      <c r="B529" s="118"/>
      <c r="C529" s="118"/>
      <c r="D529" s="121"/>
      <c r="E529" s="5"/>
      <c r="F529" s="5"/>
      <c r="G529" s="366" t="s">
        <v>546</v>
      </c>
      <c r="H529" s="8">
        <f>IF(条件入力!I13=1.1,5*条件入力!I12*10*1.5+((バランスシート!J323/バランスシート!G23)*バランスシート!G9),IF(条件入力!I13=1.15,8*条件入力!I12*10*1.5+((バランスシート!J323/バランスシート!G23)*バランスシート!G9),IF(条件入力!I13=1.2,4*条件入力!I12*10*1.5+((バランスシート!J323/バランスシート!G23)*バランスシート!G9),8*条件入力!I12*10*1.5+((バランスシート!J323/バランスシート!G23)*バランスシート!G9))))</f>
        <v>74.205058109729492</v>
      </c>
      <c r="I529" s="700">
        <v>700</v>
      </c>
      <c r="J529" s="701"/>
      <c r="K529" s="702"/>
      <c r="L529" s="700">
        <f>ROUND(H529*I529,0)</f>
        <v>51944</v>
      </c>
      <c r="M529" s="701"/>
      <c r="N529" s="701"/>
      <c r="O529" s="702"/>
      <c r="P529" s="5"/>
      <c r="Q529" s="5"/>
      <c r="R529" s="6"/>
    </row>
    <row r="530" spans="1:18" x14ac:dyDescent="0.15">
      <c r="A530" s="119" t="s">
        <v>547</v>
      </c>
      <c r="B530" s="118"/>
      <c r="C530" s="118"/>
      <c r="D530" s="121"/>
      <c r="E530" s="5"/>
      <c r="F530" s="5"/>
      <c r="G530" s="366" t="s">
        <v>546</v>
      </c>
      <c r="H530" s="8">
        <f>IF(条件入力!I13=1.1,180*条件入力!I12*10*1.5,IF(条件入力!I13=1.15,260*条件入力!I12*10*1.5,IF(条件入力!I13=1.2,340*条件入力!I12*10*1.5,340*条件入力!I12*10*1.5)))</f>
        <v>2340</v>
      </c>
      <c r="I530" s="700">
        <f>機械単価!F75</f>
        <v>21</v>
      </c>
      <c r="J530" s="701"/>
      <c r="K530" s="702"/>
      <c r="L530" s="700">
        <f>ROUND(H530*I530,0)</f>
        <v>49140</v>
      </c>
      <c r="M530" s="701"/>
      <c r="N530" s="701"/>
      <c r="O530" s="702"/>
      <c r="P530" s="5"/>
      <c r="Q530" s="5"/>
      <c r="R530" s="6"/>
    </row>
    <row r="531" spans="1:18" x14ac:dyDescent="0.15">
      <c r="A531" s="119" t="s">
        <v>412</v>
      </c>
      <c r="B531" s="118"/>
      <c r="C531" s="118"/>
      <c r="D531" s="121"/>
      <c r="E531" s="5"/>
      <c r="F531" s="5"/>
      <c r="G531" s="366" t="s">
        <v>413</v>
      </c>
      <c r="H531" s="364">
        <f>ROUND(IF(条件入力!I13=1.1,0.92*条件入力!I12*10*1.5,IF(条件入力!I13=1.15,0.89*条件入力!I12*10*1.5,IF(条件入力!I13=1.2,0.86*条件入力!I12*10*1.5,0.86*条件入力!I12*10*1.5))),2)+((バランスシート!J312/バランスシート!G23)*バランスシート!G9)</f>
        <v>47.69657931724015</v>
      </c>
      <c r="I531" s="700">
        <f>機械単価!F83</f>
        <v>250</v>
      </c>
      <c r="J531" s="701"/>
      <c r="K531" s="702"/>
      <c r="L531" s="700">
        <f>ROUND(H531*I531,0)</f>
        <v>11924</v>
      </c>
      <c r="M531" s="701"/>
      <c r="N531" s="701"/>
      <c r="O531" s="702"/>
      <c r="P531" s="5"/>
      <c r="Q531" s="5"/>
      <c r="R531" s="6"/>
    </row>
    <row r="532" spans="1:18" x14ac:dyDescent="0.15">
      <c r="A532" s="119"/>
      <c r="B532" s="118"/>
      <c r="C532" s="118"/>
      <c r="D532" s="121"/>
      <c r="E532" s="5"/>
      <c r="F532" s="5"/>
      <c r="G532" s="366"/>
      <c r="H532" s="8"/>
      <c r="I532" s="700"/>
      <c r="J532" s="701"/>
      <c r="K532" s="702"/>
      <c r="L532" s="729"/>
      <c r="M532" s="730"/>
      <c r="N532" s="730"/>
      <c r="O532" s="731"/>
      <c r="P532" s="5"/>
      <c r="Q532" s="5"/>
      <c r="R532" s="6"/>
    </row>
    <row r="533" spans="1:18" x14ac:dyDescent="0.15">
      <c r="A533" s="119" t="s">
        <v>184</v>
      </c>
      <c r="B533" s="118"/>
      <c r="C533" s="118"/>
      <c r="D533" s="121"/>
      <c r="E533" s="5"/>
      <c r="F533" s="5"/>
      <c r="G533" s="8"/>
      <c r="H533" s="8"/>
      <c r="I533" s="729"/>
      <c r="J533" s="730"/>
      <c r="K533" s="731"/>
      <c r="L533" s="700">
        <f>SUM(L529:O531)</f>
        <v>113008</v>
      </c>
      <c r="M533" s="701"/>
      <c r="N533" s="701"/>
      <c r="O533" s="702"/>
      <c r="P533" s="5"/>
      <c r="Q533" s="5"/>
      <c r="R533" s="6"/>
    </row>
    <row r="534" spans="1:18" x14ac:dyDescent="0.15">
      <c r="A534" s="114"/>
      <c r="B534" s="114"/>
      <c r="C534" s="114"/>
      <c r="D534" s="114"/>
    </row>
    <row r="535" spans="1:18" x14ac:dyDescent="0.15">
      <c r="A535" s="114" t="s">
        <v>548</v>
      </c>
      <c r="B535" s="114"/>
      <c r="C535" s="114"/>
      <c r="D535" s="114"/>
      <c r="Q535" s="1" t="s">
        <v>549</v>
      </c>
    </row>
    <row r="536" spans="1:18" x14ac:dyDescent="0.15">
      <c r="A536" s="115" t="s">
        <v>304</v>
      </c>
      <c r="B536" s="116"/>
      <c r="C536" s="116"/>
      <c r="D536" s="116"/>
      <c r="E536" s="736" t="s">
        <v>305</v>
      </c>
      <c r="F536" s="737"/>
      <c r="G536" s="9" t="s">
        <v>306</v>
      </c>
      <c r="H536" s="9" t="s">
        <v>307</v>
      </c>
      <c r="I536" s="10" t="s">
        <v>308</v>
      </c>
      <c r="J536" s="10"/>
      <c r="K536" s="10"/>
      <c r="L536" s="7" t="s">
        <v>309</v>
      </c>
      <c r="M536" s="10"/>
      <c r="N536" s="10"/>
      <c r="O536" s="11"/>
      <c r="P536" s="10" t="s">
        <v>310</v>
      </c>
      <c r="Q536" s="10"/>
      <c r="R536" s="11"/>
    </row>
    <row r="537" spans="1:18" x14ac:dyDescent="0.15">
      <c r="A537" s="119" t="s">
        <v>532</v>
      </c>
      <c r="B537" s="118"/>
      <c r="C537" s="118"/>
      <c r="D537" s="121"/>
      <c r="E537" s="5"/>
      <c r="F537" s="5"/>
      <c r="G537" s="366" t="s">
        <v>397</v>
      </c>
      <c r="H537" s="428"/>
      <c r="I537" s="700">
        <f>機械単価!H81</f>
        <v>70</v>
      </c>
      <c r="J537" s="701"/>
      <c r="K537" s="702"/>
      <c r="L537" s="700"/>
      <c r="M537" s="701"/>
      <c r="N537" s="701"/>
      <c r="O537" s="702"/>
      <c r="P537" s="12" t="s">
        <v>550</v>
      </c>
      <c r="Q537" s="5"/>
      <c r="R537" s="6"/>
    </row>
    <row r="538" spans="1:18" x14ac:dyDescent="0.15">
      <c r="A538" s="119" t="s">
        <v>338</v>
      </c>
      <c r="B538" s="118"/>
      <c r="C538" s="118"/>
      <c r="D538" s="121"/>
      <c r="E538" s="5"/>
      <c r="F538" s="5"/>
      <c r="G538" s="366" t="s">
        <v>551</v>
      </c>
      <c r="H538" s="428"/>
      <c r="I538" s="700">
        <f>機械単価!H82</f>
        <v>13</v>
      </c>
      <c r="J538" s="701"/>
      <c r="K538" s="702"/>
      <c r="L538" s="700">
        <f>ROUND(H538*I538,0)</f>
        <v>0</v>
      </c>
      <c r="M538" s="701"/>
      <c r="N538" s="701"/>
      <c r="O538" s="702"/>
      <c r="P538" s="5"/>
      <c r="Q538" s="5"/>
      <c r="R538" s="6"/>
    </row>
    <row r="539" spans="1:18" x14ac:dyDescent="0.15">
      <c r="A539" s="119" t="s">
        <v>4</v>
      </c>
      <c r="B539" s="118"/>
      <c r="C539" s="118"/>
      <c r="D539" s="121"/>
      <c r="E539" s="5"/>
      <c r="F539" s="5"/>
      <c r="G539" s="366" t="s">
        <v>427</v>
      </c>
      <c r="H539" s="366">
        <v>0.17</v>
      </c>
      <c r="I539" s="700">
        <f>労務単価!D51</f>
        <v>25300</v>
      </c>
      <c r="J539" s="701"/>
      <c r="K539" s="702"/>
      <c r="L539" s="700">
        <f>ROUND(H539*I539,0)</f>
        <v>4301</v>
      </c>
      <c r="M539" s="701"/>
      <c r="N539" s="701"/>
      <c r="O539" s="702"/>
      <c r="P539" s="5"/>
      <c r="Q539" s="5"/>
      <c r="R539" s="6"/>
    </row>
    <row r="540" spans="1:18" x14ac:dyDescent="0.15">
      <c r="A540" s="119" t="s">
        <v>552</v>
      </c>
      <c r="B540" s="118"/>
      <c r="C540" s="118"/>
      <c r="D540" s="121"/>
      <c r="E540" s="5"/>
      <c r="F540" s="5"/>
      <c r="G540" s="366" t="s">
        <v>195</v>
      </c>
      <c r="H540" s="366">
        <v>1</v>
      </c>
      <c r="I540" s="700">
        <f>機械単価!F70</f>
        <v>600</v>
      </c>
      <c r="J540" s="701"/>
      <c r="K540" s="702"/>
      <c r="L540" s="700">
        <f>ROUND(H540*I540,0)</f>
        <v>600</v>
      </c>
      <c r="M540" s="701"/>
      <c r="N540" s="701"/>
      <c r="O540" s="702"/>
      <c r="P540" s="5"/>
      <c r="Q540" s="5"/>
      <c r="R540" s="6"/>
    </row>
    <row r="541" spans="1:18" x14ac:dyDescent="0.15">
      <c r="A541" s="119" t="s">
        <v>553</v>
      </c>
      <c r="B541" s="118"/>
      <c r="C541" s="118"/>
      <c r="D541" s="121"/>
      <c r="E541" s="5"/>
      <c r="F541" s="5"/>
      <c r="G541" s="366" t="s">
        <v>195</v>
      </c>
      <c r="H541" s="366"/>
      <c r="I541" s="700"/>
      <c r="J541" s="701"/>
      <c r="K541" s="702"/>
      <c r="L541" s="700"/>
      <c r="M541" s="701"/>
      <c r="N541" s="701"/>
      <c r="O541" s="702"/>
      <c r="P541" s="12" t="s">
        <v>550</v>
      </c>
      <c r="Q541" s="5"/>
      <c r="R541" s="6"/>
    </row>
    <row r="542" spans="1:18" x14ac:dyDescent="0.15">
      <c r="A542" s="119" t="s">
        <v>403</v>
      </c>
      <c r="B542" s="118"/>
      <c r="C542" s="118"/>
      <c r="D542" s="121"/>
      <c r="E542" s="5"/>
      <c r="F542" s="5"/>
      <c r="G542" s="366" t="s">
        <v>322</v>
      </c>
      <c r="H542" s="366">
        <v>1</v>
      </c>
      <c r="I542" s="700"/>
      <c r="J542" s="701"/>
      <c r="K542" s="702"/>
      <c r="L542" s="700">
        <f>ROUND((L538+L539+L540)*0.1,0)</f>
        <v>490</v>
      </c>
      <c r="M542" s="701"/>
      <c r="N542" s="701"/>
      <c r="O542" s="702"/>
      <c r="P542" s="5"/>
      <c r="Q542" s="5"/>
      <c r="R542" s="6"/>
    </row>
    <row r="543" spans="1:18" x14ac:dyDescent="0.15">
      <c r="A543" s="119" t="s">
        <v>184</v>
      </c>
      <c r="B543" s="118"/>
      <c r="C543" s="118"/>
      <c r="D543" s="121"/>
      <c r="E543" s="5"/>
      <c r="F543" s="5"/>
      <c r="G543" s="8"/>
      <c r="H543" s="8"/>
      <c r="I543" s="700"/>
      <c r="J543" s="701"/>
      <c r="K543" s="702"/>
      <c r="L543" s="700">
        <f>SUM(L537:O542)</f>
        <v>5391</v>
      </c>
      <c r="M543" s="701"/>
      <c r="N543" s="701"/>
      <c r="O543" s="702"/>
      <c r="P543" s="5"/>
      <c r="Q543" s="5"/>
      <c r="R543" s="6"/>
    </row>
    <row r="544" spans="1:18" x14ac:dyDescent="0.15">
      <c r="A544" s="114"/>
      <c r="B544" s="114"/>
      <c r="C544" s="114"/>
      <c r="D544" s="114"/>
    </row>
    <row r="545" spans="1:18" x14ac:dyDescent="0.15">
      <c r="A545" s="114" t="s">
        <v>554</v>
      </c>
      <c r="B545" s="114"/>
      <c r="C545" s="114"/>
      <c r="D545" s="114"/>
      <c r="Q545" s="14" t="s">
        <v>442</v>
      </c>
    </row>
    <row r="546" spans="1:18" x14ac:dyDescent="0.15">
      <c r="A546" s="115" t="s">
        <v>304</v>
      </c>
      <c r="B546" s="116"/>
      <c r="C546" s="116"/>
      <c r="D546" s="116"/>
      <c r="E546" s="736" t="s">
        <v>305</v>
      </c>
      <c r="F546" s="737"/>
      <c r="G546" s="9" t="s">
        <v>306</v>
      </c>
      <c r="H546" s="9" t="s">
        <v>307</v>
      </c>
      <c r="I546" s="10" t="s">
        <v>308</v>
      </c>
      <c r="J546" s="10"/>
      <c r="K546" s="10"/>
      <c r="L546" s="7" t="s">
        <v>309</v>
      </c>
      <c r="M546" s="10"/>
      <c r="N546" s="10"/>
      <c r="O546" s="11"/>
      <c r="P546" s="10" t="s">
        <v>310</v>
      </c>
      <c r="Q546" s="10"/>
      <c r="R546" s="11"/>
    </row>
    <row r="547" spans="1:18" x14ac:dyDescent="0.15">
      <c r="A547" s="119" t="s">
        <v>555</v>
      </c>
      <c r="B547" s="118"/>
      <c r="C547" s="118"/>
      <c r="D547" s="121"/>
      <c r="E547" s="15" t="s">
        <v>556</v>
      </c>
      <c r="F547" s="5"/>
      <c r="G547" s="366" t="s">
        <v>420</v>
      </c>
      <c r="H547" s="366">
        <v>1</v>
      </c>
      <c r="I547" s="700">
        <f>機械単価!F86</f>
        <v>500</v>
      </c>
      <c r="J547" s="701"/>
      <c r="K547" s="702"/>
      <c r="L547" s="700">
        <f t="shared" ref="L547:L552" si="11">ROUND(H547*I547,0)</f>
        <v>500</v>
      </c>
      <c r="M547" s="701"/>
      <c r="N547" s="701"/>
      <c r="O547" s="702"/>
      <c r="P547" s="5"/>
      <c r="Q547" s="5"/>
      <c r="R547" s="6"/>
    </row>
    <row r="548" spans="1:18" x14ac:dyDescent="0.15">
      <c r="A548" s="119" t="s">
        <v>231</v>
      </c>
      <c r="B548" s="118"/>
      <c r="C548" s="118"/>
      <c r="D548" s="121"/>
      <c r="E548" s="5"/>
      <c r="F548" s="5"/>
      <c r="G548" s="366" t="s">
        <v>420</v>
      </c>
      <c r="H548" s="366">
        <v>1</v>
      </c>
      <c r="I548" s="700"/>
      <c r="J548" s="701"/>
      <c r="K548" s="702"/>
      <c r="L548" s="700">
        <f t="shared" si="11"/>
        <v>0</v>
      </c>
      <c r="M548" s="701"/>
      <c r="N548" s="701"/>
      <c r="O548" s="702"/>
      <c r="P548" s="10" t="s">
        <v>557</v>
      </c>
      <c r="Q548" s="5"/>
      <c r="R548" s="6"/>
    </row>
    <row r="549" spans="1:18" x14ac:dyDescent="0.15">
      <c r="A549" s="119" t="s">
        <v>421</v>
      </c>
      <c r="B549" s="118"/>
      <c r="C549" s="118"/>
      <c r="D549" s="121"/>
      <c r="E549" s="5"/>
      <c r="F549" s="5"/>
      <c r="G549" s="366" t="s">
        <v>317</v>
      </c>
      <c r="H549" s="366">
        <v>2.1</v>
      </c>
      <c r="I549" s="700">
        <f>L268</f>
        <v>3358</v>
      </c>
      <c r="J549" s="701"/>
      <c r="K549" s="702"/>
      <c r="L549" s="700">
        <f t="shared" si="11"/>
        <v>7052</v>
      </c>
      <c r="M549" s="701"/>
      <c r="N549" s="701"/>
      <c r="O549" s="702"/>
      <c r="P549" s="5"/>
      <c r="Q549" s="5"/>
      <c r="R549" s="6"/>
    </row>
    <row r="550" spans="1:18" x14ac:dyDescent="0.15">
      <c r="A550" s="119" t="s">
        <v>423</v>
      </c>
      <c r="B550" s="118"/>
      <c r="C550" s="118"/>
      <c r="D550" s="121"/>
      <c r="E550" s="5"/>
      <c r="F550" s="5"/>
      <c r="G550" s="366" t="s">
        <v>317</v>
      </c>
      <c r="H550" s="366">
        <v>4.2</v>
      </c>
      <c r="I550" s="700">
        <f>L277</f>
        <v>2348</v>
      </c>
      <c r="J550" s="701"/>
      <c r="K550" s="702"/>
      <c r="L550" s="700">
        <f t="shared" si="11"/>
        <v>9862</v>
      </c>
      <c r="M550" s="701"/>
      <c r="N550" s="701"/>
      <c r="O550" s="702"/>
      <c r="P550" s="5"/>
      <c r="Q550" s="5"/>
      <c r="R550" s="6"/>
    </row>
    <row r="551" spans="1:18" x14ac:dyDescent="0.15">
      <c r="A551" s="119" t="s">
        <v>5</v>
      </c>
      <c r="B551" s="118"/>
      <c r="C551" s="118"/>
      <c r="D551" s="121"/>
      <c r="E551" s="5"/>
      <c r="F551" s="5"/>
      <c r="G551" s="366" t="s">
        <v>427</v>
      </c>
      <c r="H551" s="366">
        <v>0.5</v>
      </c>
      <c r="I551" s="700">
        <f>労務単価!E51</f>
        <v>20900</v>
      </c>
      <c r="J551" s="701"/>
      <c r="K551" s="702"/>
      <c r="L551" s="700">
        <f t="shared" si="11"/>
        <v>10450</v>
      </c>
      <c r="M551" s="701"/>
      <c r="N551" s="701"/>
      <c r="O551" s="702"/>
      <c r="P551" s="5"/>
      <c r="Q551" s="5"/>
      <c r="R551" s="6"/>
    </row>
    <row r="552" spans="1:18" x14ac:dyDescent="0.15">
      <c r="A552" s="119" t="s">
        <v>401</v>
      </c>
      <c r="B552" s="118"/>
      <c r="C552" s="118"/>
      <c r="D552" s="121"/>
      <c r="E552" s="10" t="s">
        <v>558</v>
      </c>
      <c r="F552" s="5"/>
      <c r="G552" s="366" t="s">
        <v>195</v>
      </c>
      <c r="H552" s="366">
        <v>0.5</v>
      </c>
      <c r="I552" s="700">
        <f>機械単価!D70</f>
        <v>37000</v>
      </c>
      <c r="J552" s="701"/>
      <c r="K552" s="702"/>
      <c r="L552" s="700">
        <f t="shared" si="11"/>
        <v>18500</v>
      </c>
      <c r="M552" s="701"/>
      <c r="N552" s="701"/>
      <c r="O552" s="702"/>
      <c r="P552" s="5"/>
      <c r="Q552" s="5"/>
      <c r="R552" s="6"/>
    </row>
    <row r="553" spans="1:18" x14ac:dyDescent="0.15">
      <c r="A553" s="119" t="s">
        <v>184</v>
      </c>
      <c r="B553" s="118"/>
      <c r="C553" s="118"/>
      <c r="D553" s="121"/>
      <c r="E553" s="5"/>
      <c r="F553" s="5"/>
      <c r="G553" s="8"/>
      <c r="H553" s="8"/>
      <c r="I553" s="700"/>
      <c r="J553" s="701"/>
      <c r="K553" s="702"/>
      <c r="L553" s="700">
        <f>SUM(L547:O552)</f>
        <v>46364</v>
      </c>
      <c r="M553" s="701"/>
      <c r="N553" s="701"/>
      <c r="O553" s="702"/>
      <c r="P553" s="5"/>
      <c r="Q553" s="5"/>
      <c r="R553" s="6"/>
    </row>
    <row r="554" spans="1:18" x14ac:dyDescent="0.15">
      <c r="A554" s="114"/>
      <c r="B554" s="114"/>
      <c r="C554" s="114"/>
      <c r="D554" s="114"/>
    </row>
    <row r="555" spans="1:18" x14ac:dyDescent="0.15">
      <c r="A555" s="114" t="s">
        <v>332</v>
      </c>
      <c r="B555" s="114"/>
      <c r="C555" s="114"/>
      <c r="D555" s="114"/>
      <c r="Q555" s="1" t="s">
        <v>303</v>
      </c>
    </row>
    <row r="556" spans="1:18" x14ac:dyDescent="0.15">
      <c r="A556" s="115" t="s">
        <v>304</v>
      </c>
      <c r="B556" s="116"/>
      <c r="C556" s="116"/>
      <c r="D556" s="116"/>
      <c r="E556" s="736" t="s">
        <v>305</v>
      </c>
      <c r="F556" s="737"/>
      <c r="G556" s="9" t="s">
        <v>306</v>
      </c>
      <c r="H556" s="9" t="s">
        <v>307</v>
      </c>
      <c r="I556" s="10" t="s">
        <v>308</v>
      </c>
      <c r="J556" s="10"/>
      <c r="K556" s="10"/>
      <c r="L556" s="7" t="s">
        <v>309</v>
      </c>
      <c r="M556" s="10"/>
      <c r="N556" s="10"/>
      <c r="O556" s="11"/>
      <c r="P556" s="10" t="s">
        <v>310</v>
      </c>
      <c r="Q556" s="10"/>
      <c r="R556" s="11"/>
    </row>
    <row r="557" spans="1:18" x14ac:dyDescent="0.15">
      <c r="A557" s="119" t="s">
        <v>553</v>
      </c>
      <c r="B557" s="118"/>
      <c r="C557" s="118"/>
      <c r="D557" s="118"/>
      <c r="E557" s="4"/>
      <c r="F557" s="5"/>
      <c r="G557" s="366" t="s">
        <v>195</v>
      </c>
      <c r="H557" s="366">
        <f>供用日!L20</f>
        <v>24</v>
      </c>
      <c r="I557" s="700">
        <f>L566</f>
        <v>3153.2</v>
      </c>
      <c r="J557" s="701"/>
      <c r="K557" s="702"/>
      <c r="L557" s="700">
        <f>H557*I557</f>
        <v>75676.799999999988</v>
      </c>
      <c r="M557" s="701"/>
      <c r="N557" s="701"/>
      <c r="O557" s="702"/>
      <c r="P557" s="5" t="s">
        <v>559</v>
      </c>
      <c r="Q557" s="5"/>
      <c r="R557" s="6"/>
    </row>
    <row r="558" spans="1:18" x14ac:dyDescent="0.15">
      <c r="A558" s="119" t="s">
        <v>553</v>
      </c>
      <c r="B558" s="118"/>
      <c r="C558" s="118"/>
      <c r="D558" s="118"/>
      <c r="E558" s="4"/>
      <c r="F558" s="5"/>
      <c r="G558" s="366" t="s">
        <v>195</v>
      </c>
      <c r="H558" s="366">
        <f>供用日!J40</f>
        <v>27</v>
      </c>
      <c r="I558" s="700">
        <f>L573</f>
        <v>8397</v>
      </c>
      <c r="J558" s="701"/>
      <c r="K558" s="702"/>
      <c r="L558" s="700">
        <f>ROUND(H558*I558,0)</f>
        <v>226719</v>
      </c>
      <c r="M558" s="701"/>
      <c r="N558" s="701"/>
      <c r="O558" s="702"/>
      <c r="P558" s="5" t="s">
        <v>560</v>
      </c>
      <c r="Q558" s="5"/>
      <c r="R558" s="6"/>
    </row>
    <row r="559" spans="1:18" x14ac:dyDescent="0.15">
      <c r="A559" s="119" t="s">
        <v>184</v>
      </c>
      <c r="B559" s="118"/>
      <c r="C559" s="118"/>
      <c r="D559" s="118"/>
      <c r="E559" s="4"/>
      <c r="F559" s="5"/>
      <c r="G559" s="366"/>
      <c r="H559" s="366"/>
      <c r="I559" s="5"/>
      <c r="J559" s="5"/>
      <c r="K559" s="5"/>
      <c r="L559" s="700">
        <f>SUM(L557:O558)</f>
        <v>302395.8</v>
      </c>
      <c r="M559" s="701"/>
      <c r="N559" s="701"/>
      <c r="O559" s="702"/>
      <c r="P559" s="5"/>
      <c r="Q559" s="5"/>
      <c r="R559" s="6"/>
    </row>
    <row r="560" spans="1:18" x14ac:dyDescent="0.15">
      <c r="A560" s="114"/>
      <c r="B560" s="114"/>
      <c r="C560" s="114"/>
      <c r="D560" s="114"/>
    </row>
    <row r="561" spans="1:18" x14ac:dyDescent="0.15">
      <c r="A561" s="114" t="s">
        <v>561</v>
      </c>
      <c r="B561" s="114"/>
      <c r="C561" s="114"/>
      <c r="D561" s="114"/>
      <c r="Q561" s="1" t="s">
        <v>562</v>
      </c>
    </row>
    <row r="562" spans="1:18" x14ac:dyDescent="0.15">
      <c r="A562" s="115" t="s">
        <v>304</v>
      </c>
      <c r="B562" s="116"/>
      <c r="C562" s="116"/>
      <c r="D562" s="116"/>
      <c r="E562" s="736" t="s">
        <v>305</v>
      </c>
      <c r="F562" s="737"/>
      <c r="G562" s="9" t="s">
        <v>306</v>
      </c>
      <c r="H562" s="9" t="s">
        <v>307</v>
      </c>
      <c r="I562" s="10" t="s">
        <v>308</v>
      </c>
      <c r="J562" s="10"/>
      <c r="K562" s="10"/>
      <c r="L562" s="7" t="s">
        <v>309</v>
      </c>
      <c r="M562" s="10"/>
      <c r="N562" s="10"/>
      <c r="O562" s="11"/>
      <c r="P562" s="10" t="s">
        <v>310</v>
      </c>
      <c r="Q562" s="10"/>
      <c r="R562" s="11"/>
    </row>
    <row r="563" spans="1:18" x14ac:dyDescent="0.15">
      <c r="A563" s="115" t="s">
        <v>563</v>
      </c>
      <c r="B563" s="118"/>
      <c r="C563" s="118"/>
      <c r="D563" s="121"/>
      <c r="E563" s="5"/>
      <c r="F563" s="5"/>
      <c r="G563" s="366" t="s">
        <v>322</v>
      </c>
      <c r="H563" s="107">
        <v>1</v>
      </c>
      <c r="I563" s="700">
        <f>機械単価!H70</f>
        <v>0</v>
      </c>
      <c r="J563" s="701"/>
      <c r="K563" s="702"/>
      <c r="L563" s="700">
        <f>H563*I563</f>
        <v>0</v>
      </c>
      <c r="M563" s="701"/>
      <c r="N563" s="701"/>
      <c r="O563" s="702"/>
      <c r="P563" s="5"/>
      <c r="Q563" s="5"/>
      <c r="R563" s="6"/>
    </row>
    <row r="564" spans="1:18" x14ac:dyDescent="0.15">
      <c r="A564" s="119" t="s">
        <v>532</v>
      </c>
      <c r="B564" s="118"/>
      <c r="C564" s="118"/>
      <c r="D564" s="121"/>
      <c r="E564" s="5"/>
      <c r="F564" s="5"/>
      <c r="G564" s="366" t="s">
        <v>397</v>
      </c>
      <c r="H564" s="366">
        <v>44.16</v>
      </c>
      <c r="I564" s="700">
        <f>機械単価!H81</f>
        <v>70</v>
      </c>
      <c r="J564" s="701"/>
      <c r="K564" s="702"/>
      <c r="L564" s="700">
        <f>H564*I564</f>
        <v>3091.2</v>
      </c>
      <c r="M564" s="701"/>
      <c r="N564" s="701"/>
      <c r="O564" s="702"/>
      <c r="P564" s="5"/>
      <c r="Q564" s="5"/>
      <c r="R564" s="6"/>
    </row>
    <row r="565" spans="1:18" x14ac:dyDescent="0.15">
      <c r="A565" s="115" t="s">
        <v>403</v>
      </c>
      <c r="B565" s="118"/>
      <c r="C565" s="118"/>
      <c r="D565" s="121"/>
      <c r="E565" s="5"/>
      <c r="F565" s="5"/>
      <c r="G565" s="366" t="s">
        <v>322</v>
      </c>
      <c r="H565" s="107">
        <v>1</v>
      </c>
      <c r="I565" s="700"/>
      <c r="J565" s="701"/>
      <c r="K565" s="702"/>
      <c r="L565" s="700">
        <f>ROUND((L563+L564)*0.02,0)</f>
        <v>62</v>
      </c>
      <c r="M565" s="701"/>
      <c r="N565" s="701"/>
      <c r="O565" s="702"/>
      <c r="P565" s="5"/>
      <c r="Q565" s="5"/>
      <c r="R565" s="6"/>
    </row>
    <row r="566" spans="1:18" x14ac:dyDescent="0.15">
      <c r="A566" s="119" t="s">
        <v>184</v>
      </c>
      <c r="B566" s="118"/>
      <c r="C566" s="118"/>
      <c r="D566" s="121"/>
      <c r="E566" s="5"/>
      <c r="F566" s="5"/>
      <c r="G566" s="8"/>
      <c r="H566" s="8"/>
      <c r="I566" s="5"/>
      <c r="J566" s="5"/>
      <c r="K566" s="6"/>
      <c r="L566" s="700">
        <f>SUM(L563:O565)</f>
        <v>3153.2</v>
      </c>
      <c r="M566" s="701"/>
      <c r="N566" s="701"/>
      <c r="O566" s="702"/>
      <c r="P566" s="5"/>
      <c r="Q566" s="5"/>
      <c r="R566" s="6"/>
    </row>
    <row r="567" spans="1:18" x14ac:dyDescent="0.15">
      <c r="A567" s="114"/>
      <c r="B567" s="114"/>
      <c r="C567" s="114"/>
      <c r="D567" s="114"/>
    </row>
    <row r="568" spans="1:18" x14ac:dyDescent="0.15">
      <c r="A568" s="114" t="s">
        <v>564</v>
      </c>
      <c r="B568" s="114"/>
      <c r="C568" s="114"/>
      <c r="D568" s="114"/>
      <c r="Q568" s="1" t="s">
        <v>562</v>
      </c>
    </row>
    <row r="569" spans="1:18" x14ac:dyDescent="0.15">
      <c r="A569" s="115" t="s">
        <v>304</v>
      </c>
      <c r="B569" s="116"/>
      <c r="C569" s="116"/>
      <c r="D569" s="116"/>
      <c r="E569" s="736" t="s">
        <v>305</v>
      </c>
      <c r="F569" s="737"/>
      <c r="G569" s="9" t="s">
        <v>306</v>
      </c>
      <c r="H569" s="9" t="s">
        <v>307</v>
      </c>
      <c r="I569" s="10" t="s">
        <v>308</v>
      </c>
      <c r="J569" s="10"/>
      <c r="K569" s="10"/>
      <c r="L569" s="7" t="s">
        <v>309</v>
      </c>
      <c r="M569" s="10"/>
      <c r="N569" s="10"/>
      <c r="O569" s="11"/>
      <c r="P569" s="10" t="s">
        <v>310</v>
      </c>
      <c r="Q569" s="10"/>
      <c r="R569" s="11"/>
    </row>
    <row r="570" spans="1:18" x14ac:dyDescent="0.15">
      <c r="A570" s="115" t="s">
        <v>563</v>
      </c>
      <c r="B570" s="118"/>
      <c r="C570" s="118"/>
      <c r="D570" s="121"/>
      <c r="E570" s="5"/>
      <c r="F570" s="5"/>
      <c r="G570" s="366" t="s">
        <v>322</v>
      </c>
      <c r="H570" s="107">
        <v>1</v>
      </c>
      <c r="I570" s="700">
        <f>機械単価!H72</f>
        <v>0</v>
      </c>
      <c r="J570" s="701"/>
      <c r="K570" s="702"/>
      <c r="L570" s="700">
        <f>H570*I570</f>
        <v>0</v>
      </c>
      <c r="M570" s="701"/>
      <c r="N570" s="701"/>
      <c r="O570" s="702"/>
      <c r="P570" s="5"/>
      <c r="Q570" s="5"/>
      <c r="R570" s="6"/>
    </row>
    <row r="571" spans="1:18" x14ac:dyDescent="0.15">
      <c r="A571" s="119" t="s">
        <v>532</v>
      </c>
      <c r="B571" s="118"/>
      <c r="C571" s="118"/>
      <c r="D571" s="121"/>
      <c r="E571" s="5"/>
      <c r="F571" s="5"/>
      <c r="G571" s="366" t="s">
        <v>397</v>
      </c>
      <c r="H571" s="366">
        <v>117.6</v>
      </c>
      <c r="I571" s="700">
        <f>機械単価!H81</f>
        <v>70</v>
      </c>
      <c r="J571" s="701"/>
      <c r="K571" s="702"/>
      <c r="L571" s="700">
        <f>H571*I571</f>
        <v>8232</v>
      </c>
      <c r="M571" s="701"/>
      <c r="N571" s="701"/>
      <c r="O571" s="702"/>
      <c r="P571" s="5"/>
      <c r="Q571" s="5"/>
      <c r="R571" s="6"/>
    </row>
    <row r="572" spans="1:18" x14ac:dyDescent="0.15">
      <c r="A572" s="115" t="s">
        <v>403</v>
      </c>
      <c r="B572" s="118"/>
      <c r="C572" s="118"/>
      <c r="D572" s="121"/>
      <c r="E572" s="5"/>
      <c r="F572" s="5"/>
      <c r="G572" s="366" t="s">
        <v>322</v>
      </c>
      <c r="H572" s="107">
        <v>1</v>
      </c>
      <c r="I572" s="700"/>
      <c r="J572" s="701"/>
      <c r="K572" s="702"/>
      <c r="L572" s="700">
        <f>ROUND((L570+L571)*0.02,0)</f>
        <v>165</v>
      </c>
      <c r="M572" s="701"/>
      <c r="N572" s="701"/>
      <c r="O572" s="702"/>
      <c r="P572" s="5"/>
      <c r="Q572" s="5"/>
      <c r="R572" s="6"/>
    </row>
    <row r="573" spans="1:18" x14ac:dyDescent="0.15">
      <c r="A573" s="119" t="s">
        <v>184</v>
      </c>
      <c r="B573" s="118"/>
      <c r="C573" s="118"/>
      <c r="D573" s="121"/>
      <c r="E573" s="5"/>
      <c r="F573" s="5"/>
      <c r="G573" s="8"/>
      <c r="H573" s="8"/>
      <c r="I573" s="5"/>
      <c r="J573" s="5"/>
      <c r="K573" s="6"/>
      <c r="L573" s="700">
        <f>SUM(L570:O572)</f>
        <v>8397</v>
      </c>
      <c r="M573" s="701"/>
      <c r="N573" s="701"/>
      <c r="O573" s="702"/>
      <c r="P573" s="5"/>
      <c r="Q573" s="5"/>
      <c r="R573" s="6"/>
    </row>
    <row r="574" spans="1:18" x14ac:dyDescent="0.15">
      <c r="A574" s="114"/>
      <c r="B574" s="114"/>
      <c r="C574" s="114"/>
      <c r="D574" s="114"/>
    </row>
    <row r="575" spans="1:18" x14ac:dyDescent="0.15">
      <c r="A575" s="114"/>
      <c r="B575" s="114"/>
      <c r="C575" s="114"/>
      <c r="D575" s="114"/>
    </row>
    <row r="576" spans="1:18" x14ac:dyDescent="0.15">
      <c r="A576" s="114"/>
      <c r="B576" s="114"/>
      <c r="C576" s="114"/>
      <c r="D576" s="114"/>
      <c r="L576" s="760"/>
      <c r="M576" s="760"/>
      <c r="N576" s="760"/>
      <c r="O576" s="760"/>
    </row>
    <row r="577" spans="1:18" x14ac:dyDescent="0.15">
      <c r="A577" s="114"/>
      <c r="B577" s="114"/>
      <c r="C577" s="114"/>
      <c r="D577" s="114"/>
    </row>
    <row r="578" spans="1:18" x14ac:dyDescent="0.15">
      <c r="A578" s="114"/>
      <c r="B578" s="114"/>
      <c r="C578" s="114"/>
      <c r="D578" s="114"/>
    </row>
    <row r="579" spans="1:18" x14ac:dyDescent="0.15">
      <c r="A579" s="114"/>
      <c r="B579" s="114"/>
      <c r="C579" s="114"/>
      <c r="D579" s="114"/>
    </row>
    <row r="580" spans="1:18" x14ac:dyDescent="0.15">
      <c r="A580" s="114"/>
      <c r="B580" s="114"/>
      <c r="C580" s="114"/>
      <c r="D580" s="114"/>
    </row>
    <row r="581" spans="1:18" x14ac:dyDescent="0.15">
      <c r="A581" s="114"/>
      <c r="B581" s="114"/>
      <c r="C581" s="114"/>
      <c r="D581" s="114"/>
    </row>
    <row r="582" spans="1:18" x14ac:dyDescent="0.15">
      <c r="A582" s="114" t="s">
        <v>565</v>
      </c>
      <c r="B582" s="114"/>
      <c r="C582" s="114"/>
      <c r="D582" s="114"/>
    </row>
    <row r="583" spans="1:18" x14ac:dyDescent="0.15">
      <c r="A583" s="119"/>
      <c r="B583" s="118"/>
      <c r="C583" s="118"/>
      <c r="D583" s="121"/>
      <c r="E583" s="5"/>
      <c r="F583" s="6"/>
      <c r="G583" s="366" t="s">
        <v>566</v>
      </c>
      <c r="H583" s="366" t="s">
        <v>567</v>
      </c>
      <c r="I583" s="709" t="s">
        <v>568</v>
      </c>
      <c r="J583" s="710"/>
      <c r="K583" s="711"/>
      <c r="L583" s="709" t="s">
        <v>569</v>
      </c>
      <c r="M583" s="710"/>
      <c r="N583" s="710"/>
      <c r="O583" s="711"/>
      <c r="P583" s="709" t="s">
        <v>570</v>
      </c>
      <c r="Q583" s="710"/>
      <c r="R583" s="711"/>
    </row>
    <row r="584" spans="1:18" x14ac:dyDescent="0.15">
      <c r="A584" s="119" t="s">
        <v>80</v>
      </c>
      <c r="B584" s="118"/>
      <c r="C584" s="118"/>
      <c r="D584" s="121"/>
      <c r="E584" s="5"/>
      <c r="F584" s="6"/>
      <c r="G584" s="366">
        <v>1</v>
      </c>
      <c r="H584" s="366">
        <f>IF(供用日!L20&lt;30,30,供用日!L20)</f>
        <v>30</v>
      </c>
      <c r="I584" s="700"/>
      <c r="J584" s="701"/>
      <c r="K584" s="702"/>
      <c r="L584" s="700">
        <f>IF(H655&lt;30,(L655/H655)*30,L655)</f>
        <v>4494210</v>
      </c>
      <c r="M584" s="701"/>
      <c r="N584" s="701"/>
      <c r="O584" s="702"/>
      <c r="P584" s="709" t="s">
        <v>571</v>
      </c>
      <c r="Q584" s="710"/>
      <c r="R584" s="711"/>
    </row>
    <row r="585" spans="1:18" x14ac:dyDescent="0.15">
      <c r="A585" s="119" t="s">
        <v>572</v>
      </c>
      <c r="B585" s="118"/>
      <c r="C585" s="118"/>
      <c r="D585" s="121"/>
      <c r="E585" s="5"/>
      <c r="F585" s="6"/>
      <c r="G585" s="366">
        <v>1</v>
      </c>
      <c r="H585" s="366">
        <f>供用日!L20</f>
        <v>24</v>
      </c>
      <c r="I585" s="700"/>
      <c r="J585" s="701"/>
      <c r="K585" s="702"/>
      <c r="L585" s="700">
        <f>条件入力!AD18</f>
        <v>0</v>
      </c>
      <c r="M585" s="701"/>
      <c r="N585" s="701"/>
      <c r="O585" s="702"/>
      <c r="P585" s="709" t="s">
        <v>571</v>
      </c>
      <c r="Q585" s="710"/>
      <c r="R585" s="711"/>
    </row>
    <row r="586" spans="1:18" x14ac:dyDescent="0.15">
      <c r="A586" s="717" t="s">
        <v>1392</v>
      </c>
      <c r="B586" s="718"/>
      <c r="C586" s="718"/>
      <c r="D586" s="719"/>
      <c r="E586" s="4"/>
      <c r="F586" s="6"/>
      <c r="G586" s="366">
        <v>1</v>
      </c>
      <c r="H586" s="366"/>
      <c r="I586" s="709"/>
      <c r="J586" s="710"/>
      <c r="K586" s="711"/>
      <c r="L586" s="700">
        <f>IF(条件入力!$P$3="","",VLOOKUP(条件入力!$P$3,機械単価!$Q$15:$R$26,2,FALSE))</f>
        <v>2145000</v>
      </c>
      <c r="M586" s="701"/>
      <c r="N586" s="701"/>
      <c r="O586" s="702"/>
      <c r="P586" s="709" t="s">
        <v>573</v>
      </c>
      <c r="Q586" s="710"/>
      <c r="R586" s="711"/>
    </row>
    <row r="587" spans="1:18" x14ac:dyDescent="0.15">
      <c r="A587" s="119" t="s">
        <v>574</v>
      </c>
      <c r="B587" s="118"/>
      <c r="C587" s="118"/>
      <c r="D587" s="121"/>
      <c r="E587" s="5"/>
      <c r="F587" s="6"/>
      <c r="G587" s="366">
        <v>1</v>
      </c>
      <c r="H587" s="366">
        <f>供用日!L20</f>
        <v>24</v>
      </c>
      <c r="I587" s="700">
        <f>IF(条件入力!D18=1,内緒!C44,内緒!D44)</f>
        <v>50529</v>
      </c>
      <c r="J587" s="701"/>
      <c r="K587" s="702"/>
      <c r="L587" s="700">
        <f>H587*I587</f>
        <v>1212696</v>
      </c>
      <c r="M587" s="701"/>
      <c r="N587" s="701"/>
      <c r="O587" s="702"/>
      <c r="P587" s="5"/>
      <c r="Q587" s="5"/>
      <c r="R587" s="6"/>
    </row>
    <row r="588" spans="1:18" x14ac:dyDescent="0.15">
      <c r="A588" s="119" t="s">
        <v>575</v>
      </c>
      <c r="B588" s="118"/>
      <c r="C588" s="118"/>
      <c r="D588" s="121"/>
      <c r="E588" s="5"/>
      <c r="F588" s="6"/>
      <c r="G588" s="366">
        <v>1</v>
      </c>
      <c r="H588" s="366">
        <f>供用日!L20</f>
        <v>24</v>
      </c>
      <c r="I588" s="700">
        <v>2538</v>
      </c>
      <c r="J588" s="701"/>
      <c r="K588" s="702"/>
      <c r="L588" s="700">
        <f>H588*I588</f>
        <v>60912</v>
      </c>
      <c r="M588" s="701"/>
      <c r="N588" s="701"/>
      <c r="O588" s="702"/>
      <c r="P588" s="5"/>
      <c r="Q588" s="5"/>
      <c r="R588" s="6"/>
    </row>
    <row r="589" spans="1:18" x14ac:dyDescent="0.15">
      <c r="A589" s="119" t="s">
        <v>576</v>
      </c>
      <c r="B589" s="118"/>
      <c r="C589" s="118"/>
      <c r="D589" s="121"/>
      <c r="E589" s="5"/>
      <c r="F589" s="6"/>
      <c r="G589" s="366">
        <v>1</v>
      </c>
      <c r="H589" s="366">
        <f>供用日!L20</f>
        <v>24</v>
      </c>
      <c r="I589" s="700">
        <v>1920</v>
      </c>
      <c r="J589" s="701"/>
      <c r="K589" s="702"/>
      <c r="L589" s="700">
        <f>H589*I589</f>
        <v>46080</v>
      </c>
      <c r="M589" s="701"/>
      <c r="N589" s="701"/>
      <c r="O589" s="702"/>
      <c r="P589" s="5"/>
      <c r="Q589" s="5"/>
      <c r="R589" s="6"/>
    </row>
    <row r="590" spans="1:18" x14ac:dyDescent="0.15">
      <c r="A590" s="119" t="s">
        <v>577</v>
      </c>
      <c r="B590" s="118"/>
      <c r="C590" s="118"/>
      <c r="D590" s="121"/>
      <c r="E590" s="5"/>
      <c r="F590" s="6"/>
      <c r="G590" s="366">
        <v>1</v>
      </c>
      <c r="H590" s="366">
        <f>供用日!L20</f>
        <v>24</v>
      </c>
      <c r="I590" s="700">
        <v>3490</v>
      </c>
      <c r="J590" s="701"/>
      <c r="K590" s="702"/>
      <c r="L590" s="700">
        <f>H590*I590</f>
        <v>83760</v>
      </c>
      <c r="M590" s="701"/>
      <c r="N590" s="701"/>
      <c r="O590" s="702"/>
      <c r="P590" s="5"/>
      <c r="Q590" s="5"/>
      <c r="R590" s="6"/>
    </row>
    <row r="591" spans="1:18" x14ac:dyDescent="0.15">
      <c r="A591" s="119" t="s">
        <v>578</v>
      </c>
      <c r="B591" s="118"/>
      <c r="C591" s="118"/>
      <c r="D591" s="121"/>
      <c r="E591" s="5"/>
      <c r="F591" s="6"/>
      <c r="G591" s="366">
        <v>1</v>
      </c>
      <c r="H591" s="366">
        <f>供用日!L20</f>
        <v>24</v>
      </c>
      <c r="I591" s="700">
        <f>IF(条件入力!D18=1,内緒!G44*ROUND(バランスシート!G11,0),内緒!H44*ROUND(バランスシート!G11,0))</f>
        <v>2100</v>
      </c>
      <c r="J591" s="701"/>
      <c r="K591" s="702"/>
      <c r="L591" s="700">
        <f>H591*I591</f>
        <v>50400</v>
      </c>
      <c r="M591" s="701"/>
      <c r="N591" s="701"/>
      <c r="O591" s="702"/>
      <c r="P591" s="5"/>
      <c r="Q591" s="5"/>
      <c r="R591" s="6"/>
    </row>
    <row r="592" spans="1:18" x14ac:dyDescent="0.15">
      <c r="A592" s="119" t="s">
        <v>184</v>
      </c>
      <c r="B592" s="118"/>
      <c r="C592" s="118"/>
      <c r="D592" s="121"/>
      <c r="E592" s="5"/>
      <c r="F592" s="6"/>
      <c r="G592" s="8"/>
      <c r="H592" s="8"/>
      <c r="I592" s="5"/>
      <c r="J592" s="5"/>
      <c r="K592" s="6"/>
      <c r="L592" s="700">
        <f>SUM(L584:O591)</f>
        <v>8093058</v>
      </c>
      <c r="M592" s="701"/>
      <c r="N592" s="701"/>
      <c r="O592" s="702"/>
      <c r="P592" s="5"/>
      <c r="Q592" s="5"/>
      <c r="R592" s="6"/>
    </row>
    <row r="594" spans="1:18" x14ac:dyDescent="0.15">
      <c r="A594" s="114" t="s">
        <v>579</v>
      </c>
      <c r="B594" s="114"/>
      <c r="C594" s="114"/>
      <c r="D594" s="114"/>
    </row>
    <row r="595" spans="1:18" x14ac:dyDescent="0.15">
      <c r="A595" s="119"/>
      <c r="B595" s="118"/>
      <c r="C595" s="118"/>
      <c r="D595" s="121"/>
      <c r="E595" s="715"/>
      <c r="F595" s="716"/>
      <c r="G595" s="366" t="s">
        <v>566</v>
      </c>
      <c r="H595" s="366" t="s">
        <v>567</v>
      </c>
      <c r="I595" s="720" t="s">
        <v>580</v>
      </c>
      <c r="J595" s="721"/>
      <c r="K595" s="722"/>
      <c r="L595" s="709" t="s">
        <v>338</v>
      </c>
      <c r="M595" s="710"/>
      <c r="N595" s="710"/>
      <c r="O595" s="711"/>
      <c r="P595" s="709" t="s">
        <v>570</v>
      </c>
      <c r="Q595" s="710"/>
      <c r="R595" s="711"/>
    </row>
    <row r="596" spans="1:18" x14ac:dyDescent="0.15">
      <c r="A596" s="119" t="s">
        <v>80</v>
      </c>
      <c r="B596" s="118"/>
      <c r="C596" s="118"/>
      <c r="D596" s="121"/>
      <c r="E596" s="709"/>
      <c r="F596" s="711"/>
      <c r="G596" s="366">
        <v>1</v>
      </c>
      <c r="H596" s="366">
        <f>条件入力!R18</f>
        <v>14</v>
      </c>
      <c r="I596" s="709">
        <f>IF(条件入力!D8=250,1.2,IF(条件入力!D8=300,1.2,IF(条件入力!D8=350,2,IF(条件入力!D8=400,2.9,IF(条件入力!D8=450,2.9,4)))))</f>
        <v>2.9</v>
      </c>
      <c r="J596" s="710"/>
      <c r="K596" s="711"/>
      <c r="L596" s="700">
        <f>ROUND(内緒!I179*機械単価!H82,0)</f>
        <v>2111</v>
      </c>
      <c r="M596" s="701"/>
      <c r="N596" s="701"/>
      <c r="O596" s="702"/>
      <c r="P596" s="5"/>
      <c r="Q596" s="5"/>
      <c r="R596" s="6"/>
    </row>
    <row r="597" spans="1:18" x14ac:dyDescent="0.15">
      <c r="A597" s="119" t="s">
        <v>574</v>
      </c>
      <c r="B597" s="118"/>
      <c r="C597" s="118"/>
      <c r="D597" s="121"/>
      <c r="E597" s="709"/>
      <c r="F597" s="711"/>
      <c r="G597" s="366">
        <v>1</v>
      </c>
      <c r="H597" s="366">
        <f>条件入力!R18</f>
        <v>14</v>
      </c>
      <c r="I597" s="709">
        <v>4</v>
      </c>
      <c r="J597" s="710"/>
      <c r="K597" s="711"/>
      <c r="L597" s="700">
        <f>ROUND(内緒!G159*機械単価!H82,0)</f>
        <v>3130</v>
      </c>
      <c r="M597" s="701"/>
      <c r="N597" s="701"/>
      <c r="O597" s="702"/>
      <c r="P597" s="5"/>
      <c r="Q597" s="5"/>
      <c r="R597" s="6"/>
    </row>
    <row r="598" spans="1:18" x14ac:dyDescent="0.15">
      <c r="A598" s="119"/>
      <c r="B598" s="118"/>
      <c r="C598" s="118"/>
      <c r="D598" s="121"/>
      <c r="E598" s="709"/>
      <c r="F598" s="711"/>
      <c r="G598" s="366"/>
      <c r="H598" s="366"/>
      <c r="I598" s="709"/>
      <c r="J598" s="710"/>
      <c r="K598" s="711"/>
      <c r="L598" s="700"/>
      <c r="M598" s="701"/>
      <c r="N598" s="701"/>
      <c r="O598" s="702"/>
      <c r="P598" s="5"/>
      <c r="Q598" s="5"/>
      <c r="R598" s="6"/>
    </row>
    <row r="599" spans="1:18" x14ac:dyDescent="0.15">
      <c r="A599" s="119" t="s">
        <v>577</v>
      </c>
      <c r="B599" s="118"/>
      <c r="C599" s="118"/>
      <c r="D599" s="121"/>
      <c r="E599" s="709"/>
      <c r="F599" s="711"/>
      <c r="G599" s="366">
        <v>1</v>
      </c>
      <c r="H599" s="366">
        <f>条件入力!R18</f>
        <v>14</v>
      </c>
      <c r="I599" s="709">
        <v>2.2999999999999998</v>
      </c>
      <c r="J599" s="710"/>
      <c r="K599" s="711"/>
      <c r="L599" s="700">
        <f>ROUND(内緒!J179*機械単価!H82,0)</f>
        <v>1674</v>
      </c>
      <c r="M599" s="701"/>
      <c r="N599" s="701"/>
      <c r="O599" s="702"/>
      <c r="P599" s="5"/>
      <c r="Q599" s="5"/>
      <c r="R599" s="6"/>
    </row>
    <row r="600" spans="1:18" x14ac:dyDescent="0.15">
      <c r="A600" s="119" t="s">
        <v>576</v>
      </c>
      <c r="B600" s="118"/>
      <c r="C600" s="118"/>
      <c r="D600" s="121"/>
      <c r="E600" s="709"/>
      <c r="F600" s="711"/>
      <c r="G600" s="366">
        <v>1</v>
      </c>
      <c r="H600" s="366">
        <f>条件入力!R18</f>
        <v>14</v>
      </c>
      <c r="I600" s="709">
        <v>1.2</v>
      </c>
      <c r="J600" s="710"/>
      <c r="K600" s="711"/>
      <c r="L600" s="700">
        <f>ROUND(内緒!K179*機械単価!H82,0)</f>
        <v>874</v>
      </c>
      <c r="M600" s="701"/>
      <c r="N600" s="701"/>
      <c r="O600" s="702"/>
      <c r="P600" s="5"/>
      <c r="Q600" s="5"/>
      <c r="R600" s="6"/>
    </row>
    <row r="601" spans="1:18" x14ac:dyDescent="0.15">
      <c r="A601" s="119" t="s">
        <v>184</v>
      </c>
      <c r="B601" s="118"/>
      <c r="C601" s="118"/>
      <c r="D601" s="121"/>
      <c r="E601" s="5"/>
      <c r="F601" s="6"/>
      <c r="G601" s="8"/>
      <c r="H601" s="8"/>
      <c r="I601" s="5"/>
      <c r="J601" s="5"/>
      <c r="K601" s="6"/>
      <c r="L601" s="700">
        <v>0</v>
      </c>
      <c r="M601" s="701"/>
      <c r="N601" s="701"/>
      <c r="O601" s="702"/>
      <c r="P601" s="5"/>
      <c r="Q601" s="5"/>
      <c r="R601" s="6"/>
    </row>
    <row r="602" spans="1:18" x14ac:dyDescent="0.15">
      <c r="A602" s="114"/>
      <c r="B602" s="114"/>
      <c r="C602" s="114"/>
      <c r="D602" s="114"/>
    </row>
    <row r="603" spans="1:18" x14ac:dyDescent="0.15">
      <c r="A603" s="114" t="s">
        <v>581</v>
      </c>
      <c r="B603" s="114"/>
      <c r="C603" s="114"/>
      <c r="D603" s="114"/>
    </row>
    <row r="604" spans="1:18" x14ac:dyDescent="0.15">
      <c r="A604" s="119"/>
      <c r="B604" s="118"/>
      <c r="C604" s="118"/>
      <c r="D604" s="121"/>
      <c r="E604" s="709"/>
      <c r="F604" s="711"/>
      <c r="G604" s="366" t="s">
        <v>566</v>
      </c>
      <c r="H604" s="366" t="s">
        <v>567</v>
      </c>
      <c r="I604" s="709" t="s">
        <v>568</v>
      </c>
      <c r="J604" s="710"/>
      <c r="K604" s="711"/>
      <c r="L604" s="709" t="s">
        <v>569</v>
      </c>
      <c r="M604" s="710"/>
      <c r="N604" s="710"/>
      <c r="O604" s="711"/>
      <c r="P604" s="709" t="s">
        <v>570</v>
      </c>
      <c r="Q604" s="710"/>
      <c r="R604" s="711"/>
    </row>
    <row r="605" spans="1:18" x14ac:dyDescent="0.15">
      <c r="A605" s="119" t="s">
        <v>582</v>
      </c>
      <c r="B605" s="118"/>
      <c r="C605" s="118"/>
      <c r="D605" s="121"/>
      <c r="E605" s="5"/>
      <c r="F605" s="6"/>
      <c r="G605" s="366">
        <v>1</v>
      </c>
      <c r="H605" s="366">
        <f>供用日!L20</f>
        <v>24</v>
      </c>
      <c r="I605" s="700">
        <f>IF(条件入力!H15=50,内緒!C72,IF(条件入力!H15=80,内緒!D72,内緒!E72))</f>
        <v>9459</v>
      </c>
      <c r="J605" s="701"/>
      <c r="K605" s="702"/>
      <c r="L605" s="700">
        <f>H605*I605</f>
        <v>227016</v>
      </c>
      <c r="M605" s="701"/>
      <c r="N605" s="701"/>
      <c r="O605" s="702"/>
      <c r="P605" s="5"/>
      <c r="Q605" s="5"/>
      <c r="R605" s="6"/>
    </row>
    <row r="606" spans="1:18" x14ac:dyDescent="0.15">
      <c r="A606" s="119" t="s">
        <v>583</v>
      </c>
      <c r="B606" s="118"/>
      <c r="C606" s="118"/>
      <c r="D606" s="121"/>
      <c r="E606" s="5"/>
      <c r="F606" s="6"/>
      <c r="G606" s="366">
        <v>1</v>
      </c>
      <c r="H606" s="366">
        <f>供用日!L20</f>
        <v>24</v>
      </c>
      <c r="I606" s="700">
        <f>IF(条件入力!H15=50,内緒!C73,IF(条件入力!H15=80,内緒!D73,内緒!E73))</f>
        <v>9459</v>
      </c>
      <c r="J606" s="701"/>
      <c r="K606" s="702"/>
      <c r="L606" s="700">
        <f>H606*I606</f>
        <v>227016</v>
      </c>
      <c r="M606" s="701"/>
      <c r="N606" s="701"/>
      <c r="O606" s="702"/>
      <c r="P606" s="5"/>
      <c r="Q606" s="5"/>
      <c r="R606" s="6"/>
    </row>
    <row r="607" spans="1:18" x14ac:dyDescent="0.15">
      <c r="A607" s="119" t="s">
        <v>584</v>
      </c>
      <c r="B607" s="118"/>
      <c r="C607" s="118"/>
      <c r="D607" s="121"/>
      <c r="E607" s="5"/>
      <c r="F607" s="6"/>
      <c r="G607" s="366">
        <f>条件入力!D23</f>
        <v>0</v>
      </c>
      <c r="H607" s="366">
        <f>供用日!L20</f>
        <v>24</v>
      </c>
      <c r="I607" s="700">
        <f>IF(条件入力!D22&gt;0,IF(条件入力!H15=50,内緒!H72,IF(条件入力!H15=80,内緒!I72,内緒!J72)),0)</f>
        <v>6250</v>
      </c>
      <c r="J607" s="701"/>
      <c r="K607" s="702"/>
      <c r="L607" s="700">
        <f>H607*I607</f>
        <v>150000</v>
      </c>
      <c r="M607" s="701"/>
      <c r="N607" s="701"/>
      <c r="O607" s="702"/>
      <c r="P607" s="5"/>
      <c r="Q607" s="5"/>
      <c r="R607" s="6"/>
    </row>
    <row r="608" spans="1:18" x14ac:dyDescent="0.15">
      <c r="A608" s="119" t="s">
        <v>585</v>
      </c>
      <c r="B608" s="118"/>
      <c r="C608" s="118"/>
      <c r="D608" s="121"/>
      <c r="E608" s="5"/>
      <c r="F608" s="6"/>
      <c r="G608" s="366">
        <v>1</v>
      </c>
      <c r="H608" s="366">
        <f>供用日!L20</f>
        <v>24</v>
      </c>
      <c r="I608" s="700">
        <f>IF(条件入力!H15=50,1241,IF(条件入力!H15=80,1504,1871))</f>
        <v>1504</v>
      </c>
      <c r="J608" s="701"/>
      <c r="K608" s="702"/>
      <c r="L608" s="700">
        <f>H608*I608</f>
        <v>36096</v>
      </c>
      <c r="M608" s="701"/>
      <c r="N608" s="701"/>
      <c r="O608" s="702"/>
      <c r="P608" s="5"/>
      <c r="Q608" s="5"/>
      <c r="R608" s="6"/>
    </row>
    <row r="609" spans="1:18" x14ac:dyDescent="0.15">
      <c r="A609" s="119" t="s">
        <v>184</v>
      </c>
      <c r="B609" s="118"/>
      <c r="C609" s="118"/>
      <c r="D609" s="121"/>
      <c r="E609" s="5"/>
      <c r="F609" s="6"/>
      <c r="G609" s="8"/>
      <c r="H609" s="8"/>
      <c r="I609" s="5"/>
      <c r="J609" s="5"/>
      <c r="K609" s="6"/>
      <c r="L609" s="700">
        <f>SUM(L605:O608)</f>
        <v>640128</v>
      </c>
      <c r="M609" s="701"/>
      <c r="N609" s="701"/>
      <c r="O609" s="702"/>
      <c r="P609" s="5"/>
      <c r="Q609" s="5"/>
      <c r="R609" s="6"/>
    </row>
    <row r="610" spans="1:18" x14ac:dyDescent="0.15">
      <c r="A610" s="120"/>
      <c r="B610" s="120"/>
      <c r="C610" s="120"/>
      <c r="D610" s="120"/>
      <c r="E610" s="2"/>
      <c r="F610" s="2"/>
      <c r="G610" s="2"/>
      <c r="H610" s="2"/>
      <c r="I610" s="2"/>
      <c r="J610" s="2"/>
      <c r="K610" s="2"/>
      <c r="L610" s="2"/>
      <c r="M610" s="2"/>
      <c r="N610" s="2"/>
      <c r="O610" s="2"/>
      <c r="P610" s="2"/>
      <c r="Q610" s="2"/>
      <c r="R610" s="2"/>
    </row>
    <row r="611" spans="1:18" x14ac:dyDescent="0.15">
      <c r="A611" s="114" t="s">
        <v>586</v>
      </c>
      <c r="B611" s="114"/>
      <c r="C611" s="114"/>
      <c r="D611" s="114"/>
    </row>
    <row r="612" spans="1:18" x14ac:dyDescent="0.15">
      <c r="A612" s="119"/>
      <c r="B612" s="118"/>
      <c r="C612" s="118"/>
      <c r="D612" s="121"/>
      <c r="E612" s="715"/>
      <c r="F612" s="716"/>
      <c r="G612" s="366" t="s">
        <v>566</v>
      </c>
      <c r="H612" s="366" t="s">
        <v>567</v>
      </c>
      <c r="I612" s="720" t="s">
        <v>580</v>
      </c>
      <c r="J612" s="721"/>
      <c r="K612" s="722"/>
      <c r="L612" s="709" t="s">
        <v>338</v>
      </c>
      <c r="M612" s="710"/>
      <c r="N612" s="710"/>
      <c r="O612" s="711"/>
      <c r="P612" s="709" t="s">
        <v>570</v>
      </c>
      <c r="Q612" s="710"/>
      <c r="R612" s="711"/>
    </row>
    <row r="613" spans="1:18" x14ac:dyDescent="0.15">
      <c r="A613" s="119" t="s">
        <v>582</v>
      </c>
      <c r="B613" s="118"/>
      <c r="C613" s="118"/>
      <c r="D613" s="121"/>
      <c r="E613" s="709"/>
      <c r="F613" s="711"/>
      <c r="G613" s="366">
        <v>1</v>
      </c>
      <c r="H613" s="366">
        <f>条件入力!R18</f>
        <v>14</v>
      </c>
      <c r="I613" s="709">
        <f>条件入力!D20*0.9</f>
        <v>9.9</v>
      </c>
      <c r="J613" s="710"/>
      <c r="K613" s="711"/>
      <c r="L613" s="700">
        <f>ROUND(内緒!I139*機械単価!H82,0)</f>
        <v>8108</v>
      </c>
      <c r="M613" s="701"/>
      <c r="N613" s="701"/>
      <c r="O613" s="702"/>
      <c r="P613" s="5"/>
      <c r="Q613" s="5"/>
      <c r="R613" s="6"/>
    </row>
    <row r="614" spans="1:18" x14ac:dyDescent="0.15">
      <c r="A614" s="119" t="s">
        <v>583</v>
      </c>
      <c r="B614" s="118"/>
      <c r="C614" s="118"/>
      <c r="D614" s="121"/>
      <c r="E614" s="709"/>
      <c r="F614" s="711"/>
      <c r="G614" s="366">
        <v>1</v>
      </c>
      <c r="H614" s="366">
        <f>条件入力!R18</f>
        <v>14</v>
      </c>
      <c r="I614" s="709">
        <f>条件入力!D21*0.9</f>
        <v>9.9</v>
      </c>
      <c r="J614" s="710"/>
      <c r="K614" s="711"/>
      <c r="L614" s="700">
        <f>ROUND(内緒!J139*機械単価!H82,0)</f>
        <v>8108</v>
      </c>
      <c r="M614" s="701"/>
      <c r="N614" s="701"/>
      <c r="O614" s="702"/>
      <c r="P614" s="5"/>
      <c r="Q614" s="5"/>
      <c r="R614" s="6"/>
    </row>
    <row r="615" spans="1:18" x14ac:dyDescent="0.15">
      <c r="A615" s="119" t="s">
        <v>584</v>
      </c>
      <c r="B615" s="118"/>
      <c r="C615" s="118"/>
      <c r="D615" s="121"/>
      <c r="E615" s="709"/>
      <c r="F615" s="711"/>
      <c r="G615" s="366">
        <f>条件入力!D23</f>
        <v>0</v>
      </c>
      <c r="H615" s="366">
        <f>条件入力!R18</f>
        <v>14</v>
      </c>
      <c r="I615" s="709">
        <f>条件入力!D22*0.9</f>
        <v>6.75</v>
      </c>
      <c r="J615" s="710"/>
      <c r="K615" s="711"/>
      <c r="L615" s="700">
        <f>ROUND(内緒!K139*機械単価!H82,0)</f>
        <v>0</v>
      </c>
      <c r="M615" s="701"/>
      <c r="N615" s="701"/>
      <c r="O615" s="702"/>
      <c r="P615" s="5"/>
      <c r="Q615" s="5"/>
      <c r="R615" s="6"/>
    </row>
    <row r="616" spans="1:18" x14ac:dyDescent="0.15">
      <c r="A616" s="119" t="s">
        <v>184</v>
      </c>
      <c r="B616" s="118"/>
      <c r="C616" s="118"/>
      <c r="D616" s="121"/>
      <c r="E616" s="5"/>
      <c r="F616" s="6"/>
      <c r="G616" s="8"/>
      <c r="H616" s="8"/>
      <c r="I616" s="5"/>
      <c r="J616" s="5"/>
      <c r="K616" s="6"/>
      <c r="L616" s="700">
        <v>0</v>
      </c>
      <c r="M616" s="701"/>
      <c r="N616" s="701"/>
      <c r="O616" s="702"/>
      <c r="P616" s="5"/>
      <c r="Q616" s="5"/>
      <c r="R616" s="6"/>
    </row>
    <row r="617" spans="1:18" x14ac:dyDescent="0.15">
      <c r="A617" s="114"/>
      <c r="B617" s="114"/>
      <c r="C617" s="114"/>
      <c r="D617" s="114"/>
    </row>
    <row r="618" spans="1:18" x14ac:dyDescent="0.15">
      <c r="A618" s="114"/>
      <c r="B618" s="114"/>
      <c r="C618" s="114"/>
      <c r="D618" s="114"/>
    </row>
    <row r="619" spans="1:18" x14ac:dyDescent="0.15">
      <c r="A619" s="114" t="s">
        <v>587</v>
      </c>
      <c r="B619" s="114"/>
      <c r="C619" s="114"/>
      <c r="D619" s="114"/>
    </row>
    <row r="620" spans="1:18" x14ac:dyDescent="0.15">
      <c r="A620" s="119"/>
      <c r="B620" s="118"/>
      <c r="C620" s="118"/>
      <c r="D620" s="121"/>
      <c r="E620" s="5"/>
      <c r="F620" s="6"/>
      <c r="G620" s="366" t="s">
        <v>566</v>
      </c>
      <c r="H620" s="366" t="s">
        <v>567</v>
      </c>
      <c r="I620" s="709" t="s">
        <v>568</v>
      </c>
      <c r="J620" s="710"/>
      <c r="K620" s="711"/>
      <c r="L620" s="709" t="s">
        <v>569</v>
      </c>
      <c r="M620" s="710"/>
      <c r="N620" s="710"/>
      <c r="O620" s="711"/>
      <c r="P620" s="709" t="s">
        <v>570</v>
      </c>
      <c r="Q620" s="710"/>
      <c r="R620" s="711"/>
    </row>
    <row r="621" spans="1:18" x14ac:dyDescent="0.15">
      <c r="A621" s="119" t="s">
        <v>588</v>
      </c>
      <c r="B621" s="118"/>
      <c r="C621" s="118"/>
      <c r="D621" s="121"/>
      <c r="E621" s="5"/>
      <c r="F621" s="6"/>
      <c r="G621" s="366">
        <v>1</v>
      </c>
      <c r="H621" s="366">
        <f>供用日!J40</f>
        <v>27</v>
      </c>
      <c r="I621" s="700">
        <f>IF(条件入力!I28=1,21553,IF(条件入力!I28=2,26424,48402))</f>
        <v>26424</v>
      </c>
      <c r="J621" s="701"/>
      <c r="K621" s="702"/>
      <c r="L621" s="700">
        <f>H621*I621</f>
        <v>713448</v>
      </c>
      <c r="M621" s="701"/>
      <c r="N621" s="701"/>
      <c r="O621" s="702"/>
      <c r="P621" s="5"/>
      <c r="Q621" s="5"/>
      <c r="R621" s="6"/>
    </row>
    <row r="622" spans="1:18" x14ac:dyDescent="0.15">
      <c r="A622" s="119" t="s">
        <v>589</v>
      </c>
      <c r="B622" s="118"/>
      <c r="C622" s="118"/>
      <c r="D622" s="121"/>
      <c r="E622" s="5"/>
      <c r="F622" s="6"/>
      <c r="G622" s="167">
        <v>1</v>
      </c>
      <c r="H622" s="366">
        <f>供用日!J40</f>
        <v>27</v>
      </c>
      <c r="I622" s="706"/>
      <c r="J622" s="707"/>
      <c r="K622" s="708"/>
      <c r="L622" s="700">
        <f>H622*I622</f>
        <v>0</v>
      </c>
      <c r="M622" s="701"/>
      <c r="N622" s="701"/>
      <c r="O622" s="702"/>
      <c r="P622" s="168" t="s">
        <v>590</v>
      </c>
      <c r="Q622" s="5"/>
      <c r="R622" s="6"/>
    </row>
    <row r="623" spans="1:18" x14ac:dyDescent="0.15">
      <c r="A623" s="119" t="s">
        <v>591</v>
      </c>
      <c r="B623" s="118"/>
      <c r="C623" s="118"/>
      <c r="D623" s="121"/>
      <c r="E623" s="5"/>
      <c r="F623" s="6"/>
      <c r="G623" s="167">
        <v>1</v>
      </c>
      <c r="H623" s="366">
        <f>供用日!J40</f>
        <v>27</v>
      </c>
      <c r="I623" s="706">
        <f>IF(条件入力!D33=10,1802,"")</f>
        <v>1802</v>
      </c>
      <c r="J623" s="707"/>
      <c r="K623" s="708"/>
      <c r="L623" s="700">
        <f>IF(条件入力!D33&gt;0,G623*H623*I623,"")</f>
        <v>48654</v>
      </c>
      <c r="M623" s="701"/>
      <c r="N623" s="701"/>
      <c r="O623" s="702"/>
      <c r="P623" s="5" t="s">
        <v>592</v>
      </c>
      <c r="Q623" s="5"/>
      <c r="R623" s="6"/>
    </row>
    <row r="624" spans="1:18" x14ac:dyDescent="0.15">
      <c r="A624" s="119" t="s">
        <v>593</v>
      </c>
      <c r="B624" s="118"/>
      <c r="C624" s="118"/>
      <c r="D624" s="121"/>
      <c r="E624" s="5"/>
      <c r="F624" s="6"/>
      <c r="G624" s="167">
        <v>1</v>
      </c>
      <c r="H624" s="366">
        <f>供用日!J40</f>
        <v>27</v>
      </c>
      <c r="I624" s="706">
        <f>IF(条件入力!D34=5,496,IF(条件入力!D34=10,827,""))</f>
        <v>496</v>
      </c>
      <c r="J624" s="707"/>
      <c r="K624" s="708"/>
      <c r="L624" s="700">
        <f>IF(条件入力!D34&gt;0,G624*H624*I624,"")</f>
        <v>13392</v>
      </c>
      <c r="M624" s="701"/>
      <c r="N624" s="701"/>
      <c r="O624" s="702"/>
      <c r="P624" s="5" t="s">
        <v>592</v>
      </c>
      <c r="Q624" s="5"/>
      <c r="R624" s="6"/>
    </row>
    <row r="625" spans="1:18" x14ac:dyDescent="0.15">
      <c r="A625" s="119" t="s">
        <v>594</v>
      </c>
      <c r="B625" s="118"/>
      <c r="C625" s="118"/>
      <c r="D625" s="121"/>
      <c r="E625" s="5"/>
      <c r="F625" s="6"/>
      <c r="G625" s="167">
        <f>COUNT(I623:K624)</f>
        <v>2</v>
      </c>
      <c r="H625" s="366">
        <f>供用日!J40</f>
        <v>27</v>
      </c>
      <c r="I625" s="706">
        <f>IF(G625&gt;0,994,0)</f>
        <v>994</v>
      </c>
      <c r="J625" s="707"/>
      <c r="K625" s="708"/>
      <c r="L625" s="700">
        <f>H625*I625</f>
        <v>26838</v>
      </c>
      <c r="M625" s="701"/>
      <c r="N625" s="701"/>
      <c r="O625" s="702"/>
      <c r="P625" s="5" t="s">
        <v>592</v>
      </c>
      <c r="Q625" s="5"/>
      <c r="R625" s="6"/>
    </row>
    <row r="626" spans="1:18" x14ac:dyDescent="0.15">
      <c r="A626" s="119" t="s">
        <v>184</v>
      </c>
      <c r="B626" s="118"/>
      <c r="C626" s="118"/>
      <c r="D626" s="121"/>
      <c r="E626" s="5"/>
      <c r="F626" s="6"/>
      <c r="G626" s="8"/>
      <c r="H626" s="8"/>
      <c r="I626" s="5"/>
      <c r="J626" s="5"/>
      <c r="K626" s="6"/>
      <c r="L626" s="700">
        <f>SUM(L621:O625)</f>
        <v>802332</v>
      </c>
      <c r="M626" s="704"/>
      <c r="N626" s="704"/>
      <c r="O626" s="705"/>
      <c r="P626" s="5"/>
      <c r="Q626" s="5"/>
      <c r="R626" s="6"/>
    </row>
    <row r="627" spans="1:18" x14ac:dyDescent="0.15">
      <c r="A627" s="114"/>
      <c r="B627" s="114"/>
      <c r="C627" s="114"/>
      <c r="D627" s="114"/>
    </row>
    <row r="628" spans="1:18" x14ac:dyDescent="0.15">
      <c r="A628" s="114" t="s">
        <v>595</v>
      </c>
      <c r="B628" s="114"/>
      <c r="C628" s="114"/>
      <c r="D628" s="114"/>
    </row>
    <row r="629" spans="1:18" x14ac:dyDescent="0.15">
      <c r="A629" s="119"/>
      <c r="B629" s="118"/>
      <c r="C629" s="118"/>
      <c r="D629" s="121"/>
      <c r="E629" s="715"/>
      <c r="F629" s="716"/>
      <c r="G629" s="366" t="s">
        <v>566</v>
      </c>
      <c r="H629" s="366" t="s">
        <v>567</v>
      </c>
      <c r="I629" s="720" t="s">
        <v>580</v>
      </c>
      <c r="J629" s="721"/>
      <c r="K629" s="722"/>
      <c r="L629" s="709" t="s">
        <v>338</v>
      </c>
      <c r="M629" s="710"/>
      <c r="N629" s="710"/>
      <c r="O629" s="711"/>
      <c r="P629" s="709" t="s">
        <v>570</v>
      </c>
      <c r="Q629" s="710"/>
      <c r="R629" s="711"/>
    </row>
    <row r="630" spans="1:18" x14ac:dyDescent="0.15">
      <c r="A630" s="119" t="s">
        <v>588</v>
      </c>
      <c r="B630" s="118"/>
      <c r="C630" s="118"/>
      <c r="D630" s="121"/>
      <c r="E630" s="709"/>
      <c r="F630" s="711"/>
      <c r="G630" s="366">
        <v>1</v>
      </c>
      <c r="H630" s="366">
        <f>条件入力!R18</f>
        <v>14</v>
      </c>
      <c r="I630" s="709">
        <f>IF(条件入力!I28=1,10.26,IF(条件入力!I28=2,14.04,39.6))</f>
        <v>14.04</v>
      </c>
      <c r="J630" s="710"/>
      <c r="K630" s="711"/>
      <c r="L630" s="700">
        <f>ROUND(内緒!M139*機械単価!H82,0)</f>
        <v>11499</v>
      </c>
      <c r="M630" s="701"/>
      <c r="N630" s="701"/>
      <c r="O630" s="702"/>
      <c r="P630" s="5"/>
      <c r="Q630" s="5"/>
      <c r="R630" s="6"/>
    </row>
    <row r="631" spans="1:18" x14ac:dyDescent="0.15">
      <c r="A631" s="119" t="s">
        <v>589</v>
      </c>
      <c r="B631" s="118"/>
      <c r="C631" s="118"/>
      <c r="D631" s="121"/>
      <c r="E631" s="709"/>
      <c r="F631" s="711"/>
      <c r="G631" s="366">
        <v>1</v>
      </c>
      <c r="H631" s="366">
        <f>条件入力!R18</f>
        <v>14</v>
      </c>
      <c r="I631" s="712"/>
      <c r="J631" s="713"/>
      <c r="K631" s="714"/>
      <c r="L631" s="706">
        <f>E631*G631*H631*I631*30</f>
        <v>0</v>
      </c>
      <c r="M631" s="707"/>
      <c r="N631" s="707"/>
      <c r="O631" s="708"/>
      <c r="P631" s="5"/>
      <c r="Q631" s="5"/>
      <c r="R631" s="6"/>
    </row>
    <row r="632" spans="1:18" x14ac:dyDescent="0.15">
      <c r="A632" s="119" t="s">
        <v>591</v>
      </c>
      <c r="B632" s="118"/>
      <c r="C632" s="118"/>
      <c r="D632" s="121"/>
      <c r="E632" s="709"/>
      <c r="F632" s="711"/>
      <c r="G632" s="167">
        <f>IF(条件入力!D33=10,1.98,0)</f>
        <v>1.98</v>
      </c>
      <c r="H632" s="366">
        <f>条件入力!R18</f>
        <v>14</v>
      </c>
      <c r="I632" s="709">
        <f>IF(G632&gt;0,1.98,0)</f>
        <v>1.98</v>
      </c>
      <c r="J632" s="710"/>
      <c r="K632" s="711"/>
      <c r="L632" s="706">
        <f>ROUND(内緒!Q139*機械単価!H82,0)</f>
        <v>1622</v>
      </c>
      <c r="M632" s="707"/>
      <c r="N632" s="707"/>
      <c r="O632" s="708"/>
      <c r="P632" s="5"/>
      <c r="Q632" s="5"/>
      <c r="R632" s="6"/>
    </row>
    <row r="633" spans="1:18" x14ac:dyDescent="0.15">
      <c r="A633" s="119"/>
      <c r="B633" s="118"/>
      <c r="C633" s="118"/>
      <c r="D633" s="121"/>
      <c r="E633" s="709"/>
      <c r="F633" s="711"/>
      <c r="G633" s="366"/>
      <c r="H633" s="366"/>
      <c r="I633" s="709"/>
      <c r="J633" s="710"/>
      <c r="K633" s="711"/>
      <c r="L633" s="700"/>
      <c r="M633" s="701"/>
      <c r="N633" s="701"/>
      <c r="O633" s="702"/>
      <c r="P633" s="5"/>
      <c r="Q633" s="5"/>
      <c r="R633" s="6"/>
    </row>
    <row r="634" spans="1:18" x14ac:dyDescent="0.15">
      <c r="A634" s="119" t="s">
        <v>594</v>
      </c>
      <c r="B634" s="118"/>
      <c r="C634" s="118"/>
      <c r="D634" s="121"/>
      <c r="E634" s="709"/>
      <c r="F634" s="711"/>
      <c r="G634" s="366">
        <f>COUNT(I623:K624)</f>
        <v>2</v>
      </c>
      <c r="H634" s="366">
        <f>条件入力!R18</f>
        <v>14</v>
      </c>
      <c r="I634" s="709">
        <f>IF(G634&gt;0,1.98,0)</f>
        <v>1.98</v>
      </c>
      <c r="J634" s="710"/>
      <c r="K634" s="711"/>
      <c r="L634" s="700">
        <f>ROUND(内緒!O139*機械単価!H82*積算代価!G634,0)</f>
        <v>3243</v>
      </c>
      <c r="M634" s="701"/>
      <c r="N634" s="701"/>
      <c r="O634" s="702"/>
      <c r="P634" s="5"/>
      <c r="Q634" s="5"/>
      <c r="R634" s="6"/>
    </row>
    <row r="635" spans="1:18" x14ac:dyDescent="0.15">
      <c r="A635" s="119" t="s">
        <v>184</v>
      </c>
      <c r="B635" s="118"/>
      <c r="C635" s="118"/>
      <c r="D635" s="121"/>
      <c r="E635" s="5"/>
      <c r="F635" s="6"/>
      <c r="G635" s="8"/>
      <c r="H635" s="8"/>
      <c r="I635" s="5"/>
      <c r="J635" s="5"/>
      <c r="K635" s="6"/>
      <c r="L635" s="700">
        <v>0</v>
      </c>
      <c r="M635" s="701"/>
      <c r="N635" s="701"/>
      <c r="O635" s="702"/>
      <c r="P635" s="5"/>
      <c r="Q635" s="5"/>
      <c r="R635" s="6"/>
    </row>
    <row r="636" spans="1:18" x14ac:dyDescent="0.15">
      <c r="A636" s="114"/>
      <c r="B636" s="114"/>
      <c r="C636" s="114"/>
      <c r="D636" s="114"/>
    </row>
    <row r="637" spans="1:18" x14ac:dyDescent="0.15">
      <c r="A637" s="114"/>
      <c r="B637" s="114"/>
      <c r="C637" s="114"/>
      <c r="D637" s="114"/>
    </row>
    <row r="638" spans="1:18" x14ac:dyDescent="0.15">
      <c r="A638" s="114" t="s">
        <v>596</v>
      </c>
      <c r="B638" s="114"/>
      <c r="C638" s="114"/>
      <c r="D638" s="114"/>
    </row>
    <row r="639" spans="1:18" x14ac:dyDescent="0.15">
      <c r="A639" s="119"/>
      <c r="B639" s="118"/>
      <c r="C639" s="118"/>
      <c r="D639" s="121"/>
      <c r="E639" s="5"/>
      <c r="F639" s="6"/>
      <c r="G639" s="366" t="s">
        <v>566</v>
      </c>
      <c r="H639" s="366" t="s">
        <v>567</v>
      </c>
      <c r="I639" s="709" t="s">
        <v>568</v>
      </c>
      <c r="J639" s="710"/>
      <c r="K639" s="711"/>
      <c r="L639" s="709" t="s">
        <v>569</v>
      </c>
      <c r="M639" s="710"/>
      <c r="N639" s="710"/>
      <c r="O639" s="711"/>
      <c r="P639" s="709" t="s">
        <v>570</v>
      </c>
      <c r="Q639" s="710"/>
      <c r="R639" s="711"/>
    </row>
    <row r="640" spans="1:18" x14ac:dyDescent="0.15">
      <c r="A640" s="119" t="s">
        <v>80</v>
      </c>
      <c r="B640" s="118"/>
      <c r="C640" s="118" t="s">
        <v>597</v>
      </c>
      <c r="D640" s="121"/>
      <c r="E640" s="5"/>
      <c r="F640" s="6"/>
      <c r="G640" s="366">
        <v>1</v>
      </c>
      <c r="H640" s="137">
        <f>条件入力!AB3</f>
        <v>24</v>
      </c>
      <c r="I640" s="700">
        <f>条件入力!Z3</f>
        <v>149807</v>
      </c>
      <c r="J640" s="701"/>
      <c r="K640" s="702"/>
      <c r="L640" s="700">
        <f>IF(H640&gt;0,H640*I640,0)</f>
        <v>3595368</v>
      </c>
      <c r="M640" s="701"/>
      <c r="N640" s="701"/>
      <c r="O640" s="702"/>
      <c r="P640" s="5"/>
      <c r="Q640" s="5"/>
      <c r="R640" s="6"/>
    </row>
    <row r="641" spans="1:18" x14ac:dyDescent="0.15">
      <c r="A641" s="119" t="s">
        <v>80</v>
      </c>
      <c r="B641" s="118"/>
      <c r="C641" s="118" t="s">
        <v>598</v>
      </c>
      <c r="D641" s="121"/>
      <c r="E641" s="5"/>
      <c r="F641" s="6"/>
      <c r="G641" s="366">
        <v>1</v>
      </c>
      <c r="H641" s="137">
        <f>条件入力!AB4</f>
        <v>0</v>
      </c>
      <c r="I641" s="700" t="str">
        <f>条件入力!Z4</f>
        <v/>
      </c>
      <c r="J641" s="701"/>
      <c r="K641" s="702"/>
      <c r="L641" s="700">
        <f t="shared" ref="L641:L654" si="12">IF(H641&gt;0,H641*I641,0)</f>
        <v>0</v>
      </c>
      <c r="M641" s="701"/>
      <c r="N641" s="701"/>
      <c r="O641" s="702"/>
      <c r="P641" s="5"/>
      <c r="Q641" s="5"/>
      <c r="R641" s="6"/>
    </row>
    <row r="642" spans="1:18" x14ac:dyDescent="0.15">
      <c r="A642" s="119" t="s">
        <v>80</v>
      </c>
      <c r="B642" s="118"/>
      <c r="C642" s="118" t="s">
        <v>599</v>
      </c>
      <c r="D642" s="121"/>
      <c r="E642" s="5"/>
      <c r="F642" s="6"/>
      <c r="G642" s="366">
        <v>1</v>
      </c>
      <c r="H642" s="137">
        <f>条件入力!AB5</f>
        <v>0</v>
      </c>
      <c r="I642" s="700" t="str">
        <f>条件入力!Z5</f>
        <v/>
      </c>
      <c r="J642" s="701"/>
      <c r="K642" s="702"/>
      <c r="L642" s="700">
        <f t="shared" si="12"/>
        <v>0</v>
      </c>
      <c r="M642" s="701"/>
      <c r="N642" s="701"/>
      <c r="O642" s="702"/>
      <c r="P642" s="5"/>
      <c r="Q642" s="5"/>
      <c r="R642" s="6"/>
    </row>
    <row r="643" spans="1:18" x14ac:dyDescent="0.15">
      <c r="A643" s="119" t="s">
        <v>80</v>
      </c>
      <c r="B643" s="118"/>
      <c r="C643" s="118" t="s">
        <v>600</v>
      </c>
      <c r="D643" s="121"/>
      <c r="E643" s="5"/>
      <c r="F643" s="6"/>
      <c r="G643" s="366">
        <v>1</v>
      </c>
      <c r="H643" s="137">
        <f>条件入力!AB6</f>
        <v>0</v>
      </c>
      <c r="I643" s="700" t="str">
        <f>条件入力!Z6</f>
        <v/>
      </c>
      <c r="J643" s="701"/>
      <c r="K643" s="702"/>
      <c r="L643" s="700">
        <f t="shared" si="12"/>
        <v>0</v>
      </c>
      <c r="M643" s="701"/>
      <c r="N643" s="701"/>
      <c r="O643" s="702"/>
      <c r="P643" s="5"/>
      <c r="Q643" s="5"/>
      <c r="R643" s="6"/>
    </row>
    <row r="644" spans="1:18" x14ac:dyDescent="0.15">
      <c r="A644" s="119" t="s">
        <v>80</v>
      </c>
      <c r="B644" s="118"/>
      <c r="C644" s="118" t="s">
        <v>601</v>
      </c>
      <c r="D644" s="121"/>
      <c r="E644" s="5"/>
      <c r="F644" s="6"/>
      <c r="G644" s="366">
        <v>1</v>
      </c>
      <c r="H644" s="137">
        <f>条件入力!AB7</f>
        <v>0</v>
      </c>
      <c r="I644" s="700" t="str">
        <f>条件入力!Z7</f>
        <v/>
      </c>
      <c r="J644" s="701"/>
      <c r="K644" s="702"/>
      <c r="L644" s="700">
        <f t="shared" si="12"/>
        <v>0</v>
      </c>
      <c r="M644" s="701"/>
      <c r="N644" s="701"/>
      <c r="O644" s="702"/>
      <c r="P644" s="5"/>
      <c r="Q644" s="5"/>
      <c r="R644" s="6"/>
    </row>
    <row r="645" spans="1:18" x14ac:dyDescent="0.15">
      <c r="A645" s="119" t="s">
        <v>80</v>
      </c>
      <c r="B645" s="118"/>
      <c r="C645" s="118" t="s">
        <v>602</v>
      </c>
      <c r="D645" s="121"/>
      <c r="E645" s="5"/>
      <c r="F645" s="6"/>
      <c r="G645" s="366">
        <v>1</v>
      </c>
      <c r="H645" s="137">
        <f>条件入力!AB8</f>
        <v>0</v>
      </c>
      <c r="I645" s="700" t="str">
        <f>条件入力!Z8</f>
        <v/>
      </c>
      <c r="J645" s="701"/>
      <c r="K645" s="702"/>
      <c r="L645" s="700">
        <f t="shared" si="12"/>
        <v>0</v>
      </c>
      <c r="M645" s="701"/>
      <c r="N645" s="701"/>
      <c r="O645" s="702"/>
      <c r="P645" s="5"/>
      <c r="Q645" s="5"/>
      <c r="R645" s="6"/>
    </row>
    <row r="646" spans="1:18" x14ac:dyDescent="0.15">
      <c r="A646" s="119" t="s">
        <v>80</v>
      </c>
      <c r="B646" s="118"/>
      <c r="C646" s="118" t="s">
        <v>603</v>
      </c>
      <c r="D646" s="121"/>
      <c r="E646" s="5"/>
      <c r="F646" s="6"/>
      <c r="G646" s="366">
        <v>1</v>
      </c>
      <c r="H646" s="137">
        <f>条件入力!AB9</f>
        <v>0</v>
      </c>
      <c r="I646" s="700" t="str">
        <f>条件入力!Z9</f>
        <v/>
      </c>
      <c r="J646" s="701"/>
      <c r="K646" s="702"/>
      <c r="L646" s="700">
        <f t="shared" si="12"/>
        <v>0</v>
      </c>
      <c r="M646" s="701"/>
      <c r="N646" s="701"/>
      <c r="O646" s="702"/>
      <c r="P646" s="5"/>
      <c r="Q646" s="5"/>
      <c r="R646" s="6"/>
    </row>
    <row r="647" spans="1:18" x14ac:dyDescent="0.15">
      <c r="A647" s="119" t="s">
        <v>80</v>
      </c>
      <c r="B647" s="118"/>
      <c r="C647" s="118" t="s">
        <v>604</v>
      </c>
      <c r="D647" s="121"/>
      <c r="E647" s="5"/>
      <c r="F647" s="6"/>
      <c r="G647" s="366">
        <v>1</v>
      </c>
      <c r="H647" s="137">
        <f>条件入力!AB10</f>
        <v>0</v>
      </c>
      <c r="I647" s="700" t="str">
        <f>条件入力!Z10</f>
        <v/>
      </c>
      <c r="J647" s="701"/>
      <c r="K647" s="702"/>
      <c r="L647" s="700">
        <f t="shared" si="12"/>
        <v>0</v>
      </c>
      <c r="M647" s="701"/>
      <c r="N647" s="701"/>
      <c r="O647" s="702"/>
      <c r="P647" s="5"/>
      <c r="Q647" s="5"/>
      <c r="R647" s="6"/>
    </row>
    <row r="648" spans="1:18" x14ac:dyDescent="0.15">
      <c r="A648" s="119" t="s">
        <v>80</v>
      </c>
      <c r="B648" s="118"/>
      <c r="C648" s="118" t="s">
        <v>605</v>
      </c>
      <c r="D648" s="121"/>
      <c r="E648" s="5"/>
      <c r="F648" s="6"/>
      <c r="G648" s="366">
        <v>1</v>
      </c>
      <c r="H648" s="137">
        <f>条件入力!AB11</f>
        <v>0</v>
      </c>
      <c r="I648" s="700" t="str">
        <f>条件入力!Z11</f>
        <v/>
      </c>
      <c r="J648" s="701"/>
      <c r="K648" s="702"/>
      <c r="L648" s="700">
        <f t="shared" si="12"/>
        <v>0</v>
      </c>
      <c r="M648" s="701"/>
      <c r="N648" s="701"/>
      <c r="O648" s="702"/>
      <c r="P648" s="5"/>
      <c r="Q648" s="5"/>
      <c r="R648" s="6"/>
    </row>
    <row r="649" spans="1:18" x14ac:dyDescent="0.15">
      <c r="A649" s="119" t="s">
        <v>80</v>
      </c>
      <c r="B649" s="118"/>
      <c r="C649" s="118" t="s">
        <v>606</v>
      </c>
      <c r="D649" s="121"/>
      <c r="E649" s="5"/>
      <c r="F649" s="6"/>
      <c r="G649" s="366">
        <v>1</v>
      </c>
      <c r="H649" s="137">
        <f>条件入力!AB12</f>
        <v>0</v>
      </c>
      <c r="I649" s="700" t="str">
        <f>条件入力!Z12</f>
        <v/>
      </c>
      <c r="J649" s="701"/>
      <c r="K649" s="702"/>
      <c r="L649" s="700">
        <f t="shared" si="12"/>
        <v>0</v>
      </c>
      <c r="M649" s="701"/>
      <c r="N649" s="701"/>
      <c r="O649" s="702"/>
      <c r="P649" s="5"/>
      <c r="Q649" s="5"/>
      <c r="R649" s="6"/>
    </row>
    <row r="650" spans="1:18" x14ac:dyDescent="0.15">
      <c r="A650" s="119" t="s">
        <v>80</v>
      </c>
      <c r="B650" s="118"/>
      <c r="C650" s="118" t="s">
        <v>607</v>
      </c>
      <c r="D650" s="121"/>
      <c r="E650" s="5"/>
      <c r="F650" s="6"/>
      <c r="G650" s="366">
        <v>1</v>
      </c>
      <c r="H650" s="137">
        <f>条件入力!AB13</f>
        <v>0</v>
      </c>
      <c r="I650" s="700" t="str">
        <f>条件入力!Z13</f>
        <v/>
      </c>
      <c r="J650" s="701"/>
      <c r="K650" s="702"/>
      <c r="L650" s="700">
        <f t="shared" si="12"/>
        <v>0</v>
      </c>
      <c r="M650" s="701"/>
      <c r="N650" s="701"/>
      <c r="O650" s="702"/>
      <c r="P650" s="5"/>
      <c r="Q650" s="5"/>
      <c r="R650" s="6"/>
    </row>
    <row r="651" spans="1:18" x14ac:dyDescent="0.15">
      <c r="A651" s="119" t="s">
        <v>80</v>
      </c>
      <c r="B651" s="118"/>
      <c r="C651" s="118" t="s">
        <v>608</v>
      </c>
      <c r="D651" s="121"/>
      <c r="E651" s="5"/>
      <c r="F651" s="6"/>
      <c r="G651" s="366">
        <v>1</v>
      </c>
      <c r="H651" s="137">
        <f>条件入力!AB14</f>
        <v>0</v>
      </c>
      <c r="I651" s="700" t="str">
        <f>条件入力!Z14</f>
        <v/>
      </c>
      <c r="J651" s="701"/>
      <c r="K651" s="702"/>
      <c r="L651" s="700">
        <f t="shared" si="12"/>
        <v>0</v>
      </c>
      <c r="M651" s="701"/>
      <c r="N651" s="701"/>
      <c r="O651" s="702"/>
      <c r="P651" s="5"/>
      <c r="Q651" s="5"/>
      <c r="R651" s="6"/>
    </row>
    <row r="652" spans="1:18" x14ac:dyDescent="0.15">
      <c r="A652" s="119" t="s">
        <v>80</v>
      </c>
      <c r="B652" s="118"/>
      <c r="C652" s="118" t="s">
        <v>609</v>
      </c>
      <c r="D652" s="121"/>
      <c r="E652" s="5"/>
      <c r="F652" s="6"/>
      <c r="G652" s="366">
        <v>1</v>
      </c>
      <c r="H652" s="137">
        <f>条件入力!AB15</f>
        <v>0</v>
      </c>
      <c r="I652" s="700" t="str">
        <f>条件入力!Z15</f>
        <v/>
      </c>
      <c r="J652" s="701"/>
      <c r="K652" s="702"/>
      <c r="L652" s="700">
        <f t="shared" si="12"/>
        <v>0</v>
      </c>
      <c r="M652" s="701"/>
      <c r="N652" s="701"/>
      <c r="O652" s="702"/>
      <c r="P652" s="5"/>
      <c r="Q652" s="5"/>
      <c r="R652" s="6"/>
    </row>
    <row r="653" spans="1:18" x14ac:dyDescent="0.15">
      <c r="A653" s="119" t="s">
        <v>80</v>
      </c>
      <c r="B653" s="118"/>
      <c r="C653" s="118" t="s">
        <v>610</v>
      </c>
      <c r="D653" s="121"/>
      <c r="E653" s="5"/>
      <c r="F653" s="6"/>
      <c r="G653" s="366">
        <v>1</v>
      </c>
      <c r="H653" s="137">
        <f>条件入力!AB16</f>
        <v>0</v>
      </c>
      <c r="I653" s="700" t="str">
        <f>条件入力!Z16</f>
        <v/>
      </c>
      <c r="J653" s="701"/>
      <c r="K653" s="702"/>
      <c r="L653" s="700">
        <f t="shared" si="12"/>
        <v>0</v>
      </c>
      <c r="M653" s="701"/>
      <c r="N653" s="701"/>
      <c r="O653" s="702"/>
      <c r="P653" s="5"/>
      <c r="Q653" s="5"/>
      <c r="R653" s="6"/>
    </row>
    <row r="654" spans="1:18" ht="14.25" thickBot="1" x14ac:dyDescent="0.2">
      <c r="A654" s="123" t="s">
        <v>80</v>
      </c>
      <c r="B654" s="120"/>
      <c r="C654" s="120" t="s">
        <v>611</v>
      </c>
      <c r="D654" s="124"/>
      <c r="E654" s="2"/>
      <c r="F654" s="97"/>
      <c r="G654" s="138">
        <v>1</v>
      </c>
      <c r="H654" s="137">
        <f>条件入力!AB17</f>
        <v>0</v>
      </c>
      <c r="I654" s="700" t="str">
        <f>条件入力!Z17</f>
        <v/>
      </c>
      <c r="J654" s="701"/>
      <c r="K654" s="702"/>
      <c r="L654" s="700">
        <f t="shared" si="12"/>
        <v>0</v>
      </c>
      <c r="M654" s="701"/>
      <c r="N654" s="701"/>
      <c r="O654" s="702"/>
      <c r="P654" s="2"/>
      <c r="Q654" s="2"/>
      <c r="R654" s="97"/>
    </row>
    <row r="655" spans="1:18" ht="15" thickTop="1" thickBot="1" x14ac:dyDescent="0.2">
      <c r="A655" s="125" t="s">
        <v>612</v>
      </c>
      <c r="B655" s="126"/>
      <c r="C655" s="126"/>
      <c r="D655" s="127"/>
      <c r="E655" s="99"/>
      <c r="F655" s="101"/>
      <c r="G655" s="102"/>
      <c r="H655" s="169">
        <f>SUM(H640:H654)</f>
        <v>24</v>
      </c>
      <c r="I655" s="99"/>
      <c r="J655" s="100"/>
      <c r="K655" s="101"/>
      <c r="L655" s="757">
        <f>SUM(L640:O654)</f>
        <v>3595368</v>
      </c>
      <c r="M655" s="758"/>
      <c r="N655" s="758"/>
      <c r="O655" s="759"/>
      <c r="P655" s="99"/>
      <c r="Q655" s="100"/>
      <c r="R655" s="101"/>
    </row>
    <row r="656" spans="1:18" ht="14.25" thickTop="1" x14ac:dyDescent="0.15">
      <c r="A656" s="128" t="s">
        <v>572</v>
      </c>
      <c r="B656" s="129"/>
      <c r="C656" s="129" t="s">
        <v>613</v>
      </c>
      <c r="D656" s="130"/>
      <c r="E656" s="3"/>
      <c r="F656" s="103"/>
      <c r="G656" s="139">
        <v>1</v>
      </c>
      <c r="H656" s="104"/>
      <c r="I656" s="3"/>
      <c r="J656" s="3"/>
      <c r="K656" s="103"/>
      <c r="L656" s="754">
        <f>条件入力!AE3</f>
        <v>0</v>
      </c>
      <c r="M656" s="755"/>
      <c r="N656" s="755"/>
      <c r="O656" s="756"/>
      <c r="P656" s="3"/>
      <c r="Q656" s="3"/>
      <c r="R656" s="103"/>
    </row>
    <row r="657" spans="1:18" x14ac:dyDescent="0.15">
      <c r="A657" s="119" t="s">
        <v>572</v>
      </c>
      <c r="B657" s="118"/>
      <c r="C657" s="118" t="s">
        <v>614</v>
      </c>
      <c r="D657" s="121"/>
      <c r="E657" s="5"/>
      <c r="F657" s="6"/>
      <c r="G657" s="366">
        <v>1</v>
      </c>
      <c r="H657" s="8"/>
      <c r="I657" s="5"/>
      <c r="J657" s="5"/>
      <c r="K657" s="6"/>
      <c r="L657" s="700">
        <f>条件入力!AE4</f>
        <v>0</v>
      </c>
      <c r="M657" s="701"/>
      <c r="N657" s="701"/>
      <c r="O657" s="702"/>
      <c r="P657" s="5"/>
      <c r="Q657" s="5"/>
      <c r="R657" s="6"/>
    </row>
    <row r="658" spans="1:18" x14ac:dyDescent="0.15">
      <c r="A658" s="119" t="s">
        <v>572</v>
      </c>
      <c r="B658" s="118"/>
      <c r="C658" s="118" t="s">
        <v>615</v>
      </c>
      <c r="D658" s="121"/>
      <c r="E658" s="5"/>
      <c r="F658" s="6"/>
      <c r="G658" s="366">
        <v>1</v>
      </c>
      <c r="H658" s="8"/>
      <c r="I658" s="5"/>
      <c r="J658" s="5"/>
      <c r="K658" s="6"/>
      <c r="L658" s="700">
        <f>条件入力!AE5</f>
        <v>0</v>
      </c>
      <c r="M658" s="701"/>
      <c r="N658" s="701"/>
      <c r="O658" s="702"/>
      <c r="P658" s="5"/>
      <c r="Q658" s="5"/>
      <c r="R658" s="6"/>
    </row>
    <row r="659" spans="1:18" x14ac:dyDescent="0.15">
      <c r="A659" s="119" t="s">
        <v>572</v>
      </c>
      <c r="B659" s="118"/>
      <c r="C659" s="118" t="s">
        <v>616</v>
      </c>
      <c r="D659" s="121"/>
      <c r="E659" s="5"/>
      <c r="F659" s="6"/>
      <c r="G659" s="366">
        <v>1</v>
      </c>
      <c r="H659" s="8"/>
      <c r="I659" s="5"/>
      <c r="J659" s="5"/>
      <c r="K659" s="6"/>
      <c r="L659" s="700">
        <f>条件入力!AE6</f>
        <v>0</v>
      </c>
      <c r="M659" s="701"/>
      <c r="N659" s="701"/>
      <c r="O659" s="702"/>
      <c r="P659" s="5"/>
      <c r="Q659" s="5"/>
      <c r="R659" s="6"/>
    </row>
    <row r="660" spans="1:18" x14ac:dyDescent="0.15">
      <c r="A660" s="123" t="s">
        <v>572</v>
      </c>
      <c r="B660" s="120"/>
      <c r="C660" s="120" t="s">
        <v>617</v>
      </c>
      <c r="D660" s="124"/>
      <c r="E660" s="2"/>
      <c r="F660" s="97"/>
      <c r="G660" s="138">
        <v>1</v>
      </c>
      <c r="H660" s="98"/>
      <c r="I660" s="2"/>
      <c r="J660" s="2"/>
      <c r="K660" s="97"/>
      <c r="L660" s="738">
        <f>条件入力!AE7</f>
        <v>0</v>
      </c>
      <c r="M660" s="739"/>
      <c r="N660" s="739"/>
      <c r="O660" s="740"/>
      <c r="P660" s="2"/>
      <c r="Q660" s="2"/>
      <c r="R660" s="97"/>
    </row>
    <row r="661" spans="1:18" x14ac:dyDescent="0.15">
      <c r="A661" s="119" t="s">
        <v>572</v>
      </c>
      <c r="B661" s="118"/>
      <c r="C661" s="118" t="s">
        <v>618</v>
      </c>
      <c r="D661" s="121"/>
      <c r="E661" s="5"/>
      <c r="F661" s="6"/>
      <c r="G661" s="366">
        <v>1</v>
      </c>
      <c r="H661" s="8"/>
      <c r="I661" s="5"/>
      <c r="J661" s="5"/>
      <c r="K661" s="6"/>
      <c r="L661" s="700">
        <f>条件入力!AE8</f>
        <v>0</v>
      </c>
      <c r="M661" s="701"/>
      <c r="N661" s="701"/>
      <c r="O661" s="702"/>
      <c r="P661" s="5"/>
      <c r="Q661" s="5"/>
      <c r="R661" s="6"/>
    </row>
    <row r="662" spans="1:18" x14ac:dyDescent="0.15">
      <c r="A662" s="123" t="s">
        <v>572</v>
      </c>
      <c r="B662" s="120"/>
      <c r="C662" s="120" t="s">
        <v>619</v>
      </c>
      <c r="D662" s="124"/>
      <c r="E662" s="2"/>
      <c r="F662" s="97"/>
      <c r="G662" s="138">
        <v>1</v>
      </c>
      <c r="H662" s="98"/>
      <c r="I662" s="2"/>
      <c r="J662" s="2"/>
      <c r="K662" s="97"/>
      <c r="L662" s="738">
        <f>条件入力!AE9</f>
        <v>0</v>
      </c>
      <c r="M662" s="739"/>
      <c r="N662" s="739"/>
      <c r="O662" s="740"/>
      <c r="P662" s="2"/>
      <c r="Q662" s="2"/>
      <c r="R662" s="97"/>
    </row>
    <row r="663" spans="1:18" x14ac:dyDescent="0.15">
      <c r="A663" s="123" t="s">
        <v>572</v>
      </c>
      <c r="B663" s="120"/>
      <c r="C663" s="120" t="s">
        <v>620</v>
      </c>
      <c r="D663" s="124"/>
      <c r="E663" s="2"/>
      <c r="F663" s="97"/>
      <c r="G663" s="138">
        <v>1</v>
      </c>
      <c r="H663" s="98"/>
      <c r="I663" s="2"/>
      <c r="J663" s="2"/>
      <c r="K663" s="97"/>
      <c r="L663" s="738">
        <f>条件入力!AE10</f>
        <v>0</v>
      </c>
      <c r="M663" s="739"/>
      <c r="N663" s="739"/>
      <c r="O663" s="740"/>
      <c r="P663" s="2"/>
      <c r="Q663" s="2"/>
      <c r="R663" s="97"/>
    </row>
    <row r="664" spans="1:18" ht="14.25" thickBot="1" x14ac:dyDescent="0.2">
      <c r="A664" s="123" t="s">
        <v>572</v>
      </c>
      <c r="B664" s="120"/>
      <c r="C664" s="120" t="s">
        <v>621</v>
      </c>
      <c r="D664" s="124"/>
      <c r="E664" s="2"/>
      <c r="F664" s="97"/>
      <c r="G664" s="138">
        <v>1</v>
      </c>
      <c r="H664" s="98"/>
      <c r="I664" s="2"/>
      <c r="J664" s="2"/>
      <c r="K664" s="97"/>
      <c r="L664" s="738">
        <f>条件入力!AE11</f>
        <v>0</v>
      </c>
      <c r="M664" s="739"/>
      <c r="N664" s="739"/>
      <c r="O664" s="740"/>
      <c r="P664" s="2"/>
      <c r="Q664" s="2"/>
      <c r="R664" s="97"/>
    </row>
    <row r="665" spans="1:18" ht="15" thickTop="1" thickBot="1" x14ac:dyDescent="0.2">
      <c r="A665" s="125" t="s">
        <v>622</v>
      </c>
      <c r="B665" s="126"/>
      <c r="C665" s="126"/>
      <c r="D665" s="127"/>
      <c r="E665" s="100"/>
      <c r="F665" s="101"/>
      <c r="G665" s="102"/>
      <c r="H665" s="102"/>
      <c r="I665" s="100"/>
      <c r="J665" s="100"/>
      <c r="K665" s="101"/>
      <c r="L665" s="757">
        <f>SUM(L656:O664)</f>
        <v>0</v>
      </c>
      <c r="M665" s="758"/>
      <c r="N665" s="758"/>
      <c r="O665" s="759"/>
      <c r="P665" s="100"/>
      <c r="Q665" s="100"/>
      <c r="R665" s="101"/>
    </row>
    <row r="666" spans="1:18" ht="14.25" thickTop="1" x14ac:dyDescent="0.15"/>
  </sheetData>
  <mergeCells count="717">
    <mergeCell ref="L123:O123"/>
    <mergeCell ref="I572:K572"/>
    <mergeCell ref="L572:O572"/>
    <mergeCell ref="L573:O573"/>
    <mergeCell ref="E556:F556"/>
    <mergeCell ref="I557:K557"/>
    <mergeCell ref="L557:O557"/>
    <mergeCell ref="I558:K558"/>
    <mergeCell ref="L558:O558"/>
    <mergeCell ref="L559:O559"/>
    <mergeCell ref="I227:K227"/>
    <mergeCell ref="I224:K224"/>
    <mergeCell ref="I253:K253"/>
    <mergeCell ref="I254:K254"/>
    <mergeCell ref="I225:K225"/>
    <mergeCell ref="I226:K226"/>
    <mergeCell ref="I286:K286"/>
    <mergeCell ref="I287:K287"/>
    <mergeCell ref="I282:K282"/>
    <mergeCell ref="I256:K256"/>
    <mergeCell ref="I247:K247"/>
    <mergeCell ref="I236:K236"/>
    <mergeCell ref="I228:K228"/>
    <mergeCell ref="I235:K235"/>
    <mergeCell ref="A309:D309"/>
    <mergeCell ref="P319:R319"/>
    <mergeCell ref="I332:K332"/>
    <mergeCell ref="L332:O332"/>
    <mergeCell ref="P332:R332"/>
    <mergeCell ref="L310:O310"/>
    <mergeCell ref="L309:O309"/>
    <mergeCell ref="L331:O331"/>
    <mergeCell ref="L329:O329"/>
    <mergeCell ref="L330:O330"/>
    <mergeCell ref="I255:K255"/>
    <mergeCell ref="L167:O167"/>
    <mergeCell ref="L168:O168"/>
    <mergeCell ref="L169:O169"/>
    <mergeCell ref="L170:O170"/>
    <mergeCell ref="L171:O171"/>
    <mergeCell ref="L175:O175"/>
    <mergeCell ref="L176:O176"/>
    <mergeCell ref="I380:K380"/>
    <mergeCell ref="I263:K263"/>
    <mergeCell ref="I261:K261"/>
    <mergeCell ref="I262:K262"/>
    <mergeCell ref="I266:K266"/>
    <mergeCell ref="I264:K264"/>
    <mergeCell ref="L223:O223"/>
    <mergeCell ref="L224:O224"/>
    <mergeCell ref="L225:O225"/>
    <mergeCell ref="L226:O226"/>
    <mergeCell ref="L235:O235"/>
    <mergeCell ref="L236:O236"/>
    <mergeCell ref="L177:O177"/>
    <mergeCell ref="L178:O178"/>
    <mergeCell ref="L231:O231"/>
    <mergeCell ref="L191:O191"/>
    <mergeCell ref="I382:K382"/>
    <mergeCell ref="I341:K341"/>
    <mergeCell ref="I381:K381"/>
    <mergeCell ref="I368:K368"/>
    <mergeCell ref="I351:K351"/>
    <mergeCell ref="I352:K352"/>
    <mergeCell ref="I353:K353"/>
    <mergeCell ref="I354:K354"/>
    <mergeCell ref="I377:K377"/>
    <mergeCell ref="I355:K355"/>
    <mergeCell ref="I349:K349"/>
    <mergeCell ref="L192:O192"/>
    <mergeCell ref="L185:O185"/>
    <mergeCell ref="L186:O186"/>
    <mergeCell ref="L187:O187"/>
    <mergeCell ref="L227:O227"/>
    <mergeCell ref="L228:O228"/>
    <mergeCell ref="L179:O179"/>
    <mergeCell ref="L180:O180"/>
    <mergeCell ref="L181:O181"/>
    <mergeCell ref="L237:O237"/>
    <mergeCell ref="L238:O238"/>
    <mergeCell ref="L243:O243"/>
    <mergeCell ref="L244:O244"/>
    <mergeCell ref="L247:O247"/>
    <mergeCell ref="L248:O248"/>
    <mergeCell ref="L245:O245"/>
    <mergeCell ref="L246:O246"/>
    <mergeCell ref="L229:O229"/>
    <mergeCell ref="L230:O230"/>
    <mergeCell ref="L252:O252"/>
    <mergeCell ref="L253:O253"/>
    <mergeCell ref="L267:O267"/>
    <mergeCell ref="L268:O268"/>
    <mergeCell ref="L261:O261"/>
    <mergeCell ref="L262:O262"/>
    <mergeCell ref="L263:O263"/>
    <mergeCell ref="L264:O264"/>
    <mergeCell ref="L254:O254"/>
    <mergeCell ref="L255:O255"/>
    <mergeCell ref="L265:O265"/>
    <mergeCell ref="L266:O266"/>
    <mergeCell ref="L256:O256"/>
    <mergeCell ref="L257:O257"/>
    <mergeCell ref="L289:O289"/>
    <mergeCell ref="L293:O293"/>
    <mergeCell ref="L294:O294"/>
    <mergeCell ref="L295:O295"/>
    <mergeCell ref="L296:O296"/>
    <mergeCell ref="L301:O301"/>
    <mergeCell ref="L302:O302"/>
    <mergeCell ref="L281:O281"/>
    <mergeCell ref="L271:O271"/>
    <mergeCell ref="L272:O272"/>
    <mergeCell ref="L273:O273"/>
    <mergeCell ref="L274:O274"/>
    <mergeCell ref="L282:O282"/>
    <mergeCell ref="L275:O275"/>
    <mergeCell ref="L276:O276"/>
    <mergeCell ref="L277:O277"/>
    <mergeCell ref="L303:O303"/>
    <mergeCell ref="L304:O304"/>
    <mergeCell ref="L311:O311"/>
    <mergeCell ref="L328:O328"/>
    <mergeCell ref="L306:O306"/>
    <mergeCell ref="L307:O307"/>
    <mergeCell ref="L297:O297"/>
    <mergeCell ref="L305:O305"/>
    <mergeCell ref="L308:O308"/>
    <mergeCell ref="L352:O352"/>
    <mergeCell ref="L333:O333"/>
    <mergeCell ref="L315:O315"/>
    <mergeCell ref="L316:O316"/>
    <mergeCell ref="L317:O317"/>
    <mergeCell ref="L318:O318"/>
    <mergeCell ref="L319:O319"/>
    <mergeCell ref="L320:O320"/>
    <mergeCell ref="L326:O326"/>
    <mergeCell ref="L327:O327"/>
    <mergeCell ref="L348:O348"/>
    <mergeCell ref="L349:O349"/>
    <mergeCell ref="L350:O350"/>
    <mergeCell ref="L351:O351"/>
    <mergeCell ref="L337:O337"/>
    <mergeCell ref="L338:O338"/>
    <mergeCell ref="L339:O339"/>
    <mergeCell ref="L340:O340"/>
    <mergeCell ref="L341:O341"/>
    <mergeCell ref="L342:O342"/>
    <mergeCell ref="L343:O343"/>
    <mergeCell ref="L344:O344"/>
    <mergeCell ref="L398:O398"/>
    <mergeCell ref="L395:O395"/>
    <mergeCell ref="L396:O396"/>
    <mergeCell ref="L381:O381"/>
    <mergeCell ref="L382:O382"/>
    <mergeCell ref="L383:O383"/>
    <mergeCell ref="L353:O353"/>
    <mergeCell ref="L354:O354"/>
    <mergeCell ref="L355:O355"/>
    <mergeCell ref="L356:O356"/>
    <mergeCell ref="L361:O361"/>
    <mergeCell ref="L362:O362"/>
    <mergeCell ref="L366:O366"/>
    <mergeCell ref="L367:O367"/>
    <mergeCell ref="L664:O664"/>
    <mergeCell ref="L445:O445"/>
    <mergeCell ref="L446:O446"/>
    <mergeCell ref="L447:O447"/>
    <mergeCell ref="L448:O448"/>
    <mergeCell ref="L463:O463"/>
    <mergeCell ref="L464:O464"/>
    <mergeCell ref="L465:O465"/>
    <mergeCell ref="L473:O473"/>
    <mergeCell ref="L496:O496"/>
    <mergeCell ref="L450:O450"/>
    <mergeCell ref="L454:O454"/>
    <mergeCell ref="L455:O455"/>
    <mergeCell ref="L456:O456"/>
    <mergeCell ref="L457:O457"/>
    <mergeCell ref="L497:O497"/>
    <mergeCell ref="L498:O498"/>
    <mergeCell ref="L563:O563"/>
    <mergeCell ref="L564:O564"/>
    <mergeCell ref="L565:O565"/>
    <mergeCell ref="L576:O576"/>
    <mergeCell ref="L566:O566"/>
    <mergeCell ref="L570:O570"/>
    <mergeCell ref="L571:O571"/>
    <mergeCell ref="L652:O652"/>
    <mergeCell ref="L653:O653"/>
    <mergeCell ref="L416:O416"/>
    <mergeCell ref="L417:O417"/>
    <mergeCell ref="L418:O418"/>
    <mergeCell ref="L421:O421"/>
    <mergeCell ref="L422:O422"/>
    <mergeCell ref="L424:O424"/>
    <mergeCell ref="L423:O423"/>
    <mergeCell ref="L449:O449"/>
    <mergeCell ref="L429:O429"/>
    <mergeCell ref="L428:O428"/>
    <mergeCell ref="L434:O434"/>
    <mergeCell ref="L435:O435"/>
    <mergeCell ref="L433:O433"/>
    <mergeCell ref="L436:O436"/>
    <mergeCell ref="L458:O458"/>
    <mergeCell ref="L437:O437"/>
    <mergeCell ref="L438:O438"/>
    <mergeCell ref="L439:O439"/>
    <mergeCell ref="L444:O444"/>
    <mergeCell ref="L651:O651"/>
    <mergeCell ref="L543:O543"/>
    <mergeCell ref="L529:O529"/>
    <mergeCell ref="L657:O657"/>
    <mergeCell ref="L658:O658"/>
    <mergeCell ref="L659:O659"/>
    <mergeCell ref="L654:O654"/>
    <mergeCell ref="L656:O656"/>
    <mergeCell ref="L660:O660"/>
    <mergeCell ref="L665:O665"/>
    <mergeCell ref="I640:K640"/>
    <mergeCell ref="I641:K641"/>
    <mergeCell ref="I642:K642"/>
    <mergeCell ref="I643:K643"/>
    <mergeCell ref="I644:K644"/>
    <mergeCell ref="I645:K645"/>
    <mergeCell ref="I646:K646"/>
    <mergeCell ref="I647:K647"/>
    <mergeCell ref="I648:K648"/>
    <mergeCell ref="I653:K653"/>
    <mergeCell ref="I654:K654"/>
    <mergeCell ref="L655:O655"/>
    <mergeCell ref="I649:K649"/>
    <mergeCell ref="I650:K650"/>
    <mergeCell ref="I651:K651"/>
    <mergeCell ref="I652:K652"/>
    <mergeCell ref="L662:O662"/>
    <mergeCell ref="P639:R639"/>
    <mergeCell ref="L640:O640"/>
    <mergeCell ref="L641:O641"/>
    <mergeCell ref="I639:K639"/>
    <mergeCell ref="L639:O639"/>
    <mergeCell ref="L649:O649"/>
    <mergeCell ref="L642:O642"/>
    <mergeCell ref="L643:O643"/>
    <mergeCell ref="L644:O644"/>
    <mergeCell ref="L645:O645"/>
    <mergeCell ref="L648:O648"/>
    <mergeCell ref="I563:K563"/>
    <mergeCell ref="I564:K564"/>
    <mergeCell ref="I565:K565"/>
    <mergeCell ref="I570:K570"/>
    <mergeCell ref="I571:K571"/>
    <mergeCell ref="I329:K329"/>
    <mergeCell ref="I309:K309"/>
    <mergeCell ref="I306:K306"/>
    <mergeCell ref="I337:K337"/>
    <mergeCell ref="I326:K326"/>
    <mergeCell ref="I315:K315"/>
    <mergeCell ref="I340:K340"/>
    <mergeCell ref="I319:K319"/>
    <mergeCell ref="I316:K316"/>
    <mergeCell ref="I318:K318"/>
    <mergeCell ref="I327:K327"/>
    <mergeCell ref="I533:K533"/>
    <mergeCell ref="I516:K516"/>
    <mergeCell ref="I517:K517"/>
    <mergeCell ref="I520:K520"/>
    <mergeCell ref="I483:K483"/>
    <mergeCell ref="I473:K473"/>
    <mergeCell ref="I484:K484"/>
    <mergeCell ref="I477:K477"/>
    <mergeCell ref="E166:F166"/>
    <mergeCell ref="L128:O128"/>
    <mergeCell ref="L129:O129"/>
    <mergeCell ref="L130:O130"/>
    <mergeCell ref="L131:O131"/>
    <mergeCell ref="L135:O135"/>
    <mergeCell ref="E260:F260"/>
    <mergeCell ref="L138:O138"/>
    <mergeCell ref="L139:O139"/>
    <mergeCell ref="L140:O140"/>
    <mergeCell ref="I191:K191"/>
    <mergeCell ref="I186:K186"/>
    <mergeCell ref="I177:K177"/>
    <mergeCell ref="I176:K176"/>
    <mergeCell ref="L147:O147"/>
    <mergeCell ref="I148:K148"/>
    <mergeCell ref="L136:O136"/>
    <mergeCell ref="L137:O137"/>
    <mergeCell ref="E242:F242"/>
    <mergeCell ref="I140:K140"/>
    <mergeCell ref="I141:K141"/>
    <mergeCell ref="I144:K144"/>
    <mergeCell ref="I145:K145"/>
    <mergeCell ref="L141:O141"/>
    <mergeCell ref="E113:F113"/>
    <mergeCell ref="I114:K114"/>
    <mergeCell ref="I115:K115"/>
    <mergeCell ref="L117:O117"/>
    <mergeCell ref="L118:O118"/>
    <mergeCell ref="L119:O119"/>
    <mergeCell ref="L120:O120"/>
    <mergeCell ref="L121:O121"/>
    <mergeCell ref="L122:O122"/>
    <mergeCell ref="E461:F461"/>
    <mergeCell ref="E401:F401"/>
    <mergeCell ref="E376:F376"/>
    <mergeCell ref="E360:F360"/>
    <mergeCell ref="E365:F365"/>
    <mergeCell ref="E325:F325"/>
    <mergeCell ref="E336:F336"/>
    <mergeCell ref="N2:Q2"/>
    <mergeCell ref="N4:Q4"/>
    <mergeCell ref="A14:H15"/>
    <mergeCell ref="D6:O8"/>
    <mergeCell ref="L13:Q14"/>
    <mergeCell ref="L15:Q15"/>
    <mergeCell ref="D40:F41"/>
    <mergeCell ref="G40:O41"/>
    <mergeCell ref="I14:J15"/>
    <mergeCell ref="D25:O26"/>
    <mergeCell ref="C29:D30"/>
    <mergeCell ref="E29:G30"/>
    <mergeCell ref="H29:P30"/>
    <mergeCell ref="L16:Q16"/>
    <mergeCell ref="L17:Q17"/>
    <mergeCell ref="H33:M33"/>
    <mergeCell ref="L116:O116"/>
    <mergeCell ref="A124:D124"/>
    <mergeCell ref="A131:D131"/>
    <mergeCell ref="A149:D149"/>
    <mergeCell ref="L124:O124"/>
    <mergeCell ref="E127:F127"/>
    <mergeCell ref="I142:K142"/>
    <mergeCell ref="I143:K143"/>
    <mergeCell ref="I128:K128"/>
    <mergeCell ref="I129:K129"/>
    <mergeCell ref="I130:K130"/>
    <mergeCell ref="E134:F134"/>
    <mergeCell ref="L142:O142"/>
    <mergeCell ref="L143:O143"/>
    <mergeCell ref="L144:O144"/>
    <mergeCell ref="L149:O149"/>
    <mergeCell ref="L145:O145"/>
    <mergeCell ref="L146:O146"/>
    <mergeCell ref="L148:O148"/>
    <mergeCell ref="E292:F292"/>
    <mergeCell ref="E300:F300"/>
    <mergeCell ref="E347:F347"/>
    <mergeCell ref="E314:F314"/>
    <mergeCell ref="E174:F174"/>
    <mergeCell ref="E184:F184"/>
    <mergeCell ref="E190:F190"/>
    <mergeCell ref="E234:F234"/>
    <mergeCell ref="E222:F222"/>
    <mergeCell ref="E280:F280"/>
    <mergeCell ref="E270:F270"/>
    <mergeCell ref="E251:F251"/>
    <mergeCell ref="E482:F482"/>
    <mergeCell ref="E501:F501"/>
    <mergeCell ref="E513:F513"/>
    <mergeCell ref="E528:F528"/>
    <mergeCell ref="E490:F490"/>
    <mergeCell ref="E387:F387"/>
    <mergeCell ref="E392:F392"/>
    <mergeCell ref="E427:F427"/>
    <mergeCell ref="L663:O663"/>
    <mergeCell ref="L553:O553"/>
    <mergeCell ref="L552:O552"/>
    <mergeCell ref="L650:O650"/>
    <mergeCell ref="I553:K553"/>
    <mergeCell ref="I620:K620"/>
    <mergeCell ref="L646:O646"/>
    <mergeCell ref="L635:O635"/>
    <mergeCell ref="L614:O614"/>
    <mergeCell ref="L647:O647"/>
    <mergeCell ref="E472:F472"/>
    <mergeCell ref="E409:F409"/>
    <mergeCell ref="E420:F420"/>
    <mergeCell ref="E432:F432"/>
    <mergeCell ref="E443:F443"/>
    <mergeCell ref="E453:F453"/>
    <mergeCell ref="P583:R583"/>
    <mergeCell ref="L585:O585"/>
    <mergeCell ref="L584:O584"/>
    <mergeCell ref="P584:R584"/>
    <mergeCell ref="P585:R585"/>
    <mergeCell ref="L583:O583"/>
    <mergeCell ref="E536:F536"/>
    <mergeCell ref="E546:F546"/>
    <mergeCell ref="I583:K583"/>
    <mergeCell ref="I547:K547"/>
    <mergeCell ref="I548:K548"/>
    <mergeCell ref="I549:K549"/>
    <mergeCell ref="I550:K550"/>
    <mergeCell ref="I551:K551"/>
    <mergeCell ref="I552:K552"/>
    <mergeCell ref="I543:K543"/>
    <mergeCell ref="I584:K584"/>
    <mergeCell ref="L551:O551"/>
    <mergeCell ref="L547:O547"/>
    <mergeCell ref="L548:O548"/>
    <mergeCell ref="E562:F562"/>
    <mergeCell ref="E569:F569"/>
    <mergeCell ref="L550:O550"/>
    <mergeCell ref="L542:O542"/>
    <mergeCell ref="P620:R620"/>
    <mergeCell ref="I629:K629"/>
    <mergeCell ref="L629:O629"/>
    <mergeCell ref="P629:R629"/>
    <mergeCell ref="I621:K621"/>
    <mergeCell ref="I622:K622"/>
    <mergeCell ref="I623:K623"/>
    <mergeCell ref="I624:K624"/>
    <mergeCell ref="I625:K625"/>
    <mergeCell ref="L621:O621"/>
    <mergeCell ref="L623:O623"/>
    <mergeCell ref="L624:O624"/>
    <mergeCell ref="K70:L70"/>
    <mergeCell ref="K74:L74"/>
    <mergeCell ref="K76:L76"/>
    <mergeCell ref="K78:L78"/>
    <mergeCell ref="K60:L60"/>
    <mergeCell ref="K64:L64"/>
    <mergeCell ref="K66:L66"/>
    <mergeCell ref="K68:L68"/>
    <mergeCell ref="K72:L72"/>
    <mergeCell ref="K80:L80"/>
    <mergeCell ref="K82:L82"/>
    <mergeCell ref="K84:L84"/>
    <mergeCell ref="K86:L86"/>
    <mergeCell ref="L114:O114"/>
    <mergeCell ref="L115:O115"/>
    <mergeCell ref="I537:K537"/>
    <mergeCell ref="I293:K293"/>
    <mergeCell ref="I301:K301"/>
    <mergeCell ref="I295:K295"/>
    <mergeCell ref="I294:K294"/>
    <mergeCell ref="I296:K296"/>
    <mergeCell ref="I305:K305"/>
    <mergeCell ref="I302:K302"/>
    <mergeCell ref="I303:K303"/>
    <mergeCell ref="I304:K304"/>
    <mergeCell ref="I361:K361"/>
    <mergeCell ref="I328:K328"/>
    <mergeCell ref="I338:K338"/>
    <mergeCell ref="I330:K330"/>
    <mergeCell ref="I331:K331"/>
    <mergeCell ref="I366:K366"/>
    <mergeCell ref="L370:O370"/>
    <mergeCell ref="L492:O492"/>
    <mergeCell ref="I542:K542"/>
    <mergeCell ref="L538:O538"/>
    <mergeCell ref="L539:O539"/>
    <mergeCell ref="L540:O540"/>
    <mergeCell ref="L541:O541"/>
    <mergeCell ref="L537:O537"/>
    <mergeCell ref="I532:K532"/>
    <mergeCell ref="K88:L88"/>
    <mergeCell ref="K90:L90"/>
    <mergeCell ref="L493:O493"/>
    <mergeCell ref="L494:O494"/>
    <mergeCell ref="L495:O495"/>
    <mergeCell ref="L485:O485"/>
    <mergeCell ref="L486:O486"/>
    <mergeCell ref="L462:O462"/>
    <mergeCell ref="L368:O368"/>
    <mergeCell ref="L369:O369"/>
    <mergeCell ref="L410:O410"/>
    <mergeCell ref="L411:O411"/>
    <mergeCell ref="L402:O402"/>
    <mergeCell ref="L403:O403"/>
    <mergeCell ref="L404:O404"/>
    <mergeCell ref="L405:O405"/>
    <mergeCell ref="L397:O397"/>
    <mergeCell ref="L532:O532"/>
    <mergeCell ref="L533:O533"/>
    <mergeCell ref="I538:K538"/>
    <mergeCell ref="I539:K539"/>
    <mergeCell ref="I540:K540"/>
    <mergeCell ref="I541:K541"/>
    <mergeCell ref="I529:K529"/>
    <mergeCell ref="I530:K530"/>
    <mergeCell ref="L521:O521"/>
    <mergeCell ref="I474:K474"/>
    <mergeCell ref="I508:K508"/>
    <mergeCell ref="I502:K502"/>
    <mergeCell ref="I503:K503"/>
    <mergeCell ref="I504:K504"/>
    <mergeCell ref="I505:K505"/>
    <mergeCell ref="I506:K506"/>
    <mergeCell ref="I507:K507"/>
    <mergeCell ref="I494:K494"/>
    <mergeCell ref="I492:K492"/>
    <mergeCell ref="I493:K493"/>
    <mergeCell ref="I495:K495"/>
    <mergeCell ref="I496:K496"/>
    <mergeCell ref="I497:K497"/>
    <mergeCell ref="I491:K491"/>
    <mergeCell ref="I339:K339"/>
    <mergeCell ref="I397:K397"/>
    <mergeCell ref="I437:K437"/>
    <mergeCell ref="I436:K436"/>
    <mergeCell ref="I416:K416"/>
    <mergeCell ref="I422:K422"/>
    <mergeCell ref="I486:K486"/>
    <mergeCell ref="I444:K444"/>
    <mergeCell ref="I433:K433"/>
    <mergeCell ref="I417:K417"/>
    <mergeCell ref="I395:K395"/>
    <mergeCell ref="I404:K404"/>
    <mergeCell ref="I403:K403"/>
    <mergeCell ref="I421:K421"/>
    <mergeCell ref="I402:K402"/>
    <mergeCell ref="I405:K405"/>
    <mergeCell ref="I485:K485"/>
    <mergeCell ref="I348:K348"/>
    <mergeCell ref="I379:K379"/>
    <mergeCell ref="I350:K350"/>
    <mergeCell ref="I367:K367"/>
    <mergeCell ref="I378:K378"/>
    <mergeCell ref="I475:K475"/>
    <mergeCell ref="I478:K478"/>
    <mergeCell ref="I509:K509"/>
    <mergeCell ref="L502:O502"/>
    <mergeCell ref="L505:O505"/>
    <mergeCell ref="L506:O506"/>
    <mergeCell ref="L504:O504"/>
    <mergeCell ref="I531:K531"/>
    <mergeCell ref="I518:K518"/>
    <mergeCell ref="I519:K519"/>
    <mergeCell ref="L514:O514"/>
    <mergeCell ref="L515:O515"/>
    <mergeCell ref="L516:O516"/>
    <mergeCell ref="L517:O517"/>
    <mergeCell ref="L518:O518"/>
    <mergeCell ref="L519:O519"/>
    <mergeCell ref="L520:O520"/>
    <mergeCell ref="I514:K514"/>
    <mergeCell ref="L507:O507"/>
    <mergeCell ref="L508:O508"/>
    <mergeCell ref="L509:O509"/>
    <mergeCell ref="L510:O510"/>
    <mergeCell ref="L503:O503"/>
    <mergeCell ref="I515:K515"/>
    <mergeCell ref="L530:O530"/>
    <mergeCell ref="L531:O531"/>
    <mergeCell ref="L661:O661"/>
    <mergeCell ref="L394:O394"/>
    <mergeCell ref="L393:O393"/>
    <mergeCell ref="L388:O388"/>
    <mergeCell ref="L389:O389"/>
    <mergeCell ref="L474:O474"/>
    <mergeCell ref="L475:O475"/>
    <mergeCell ref="L377:O377"/>
    <mergeCell ref="L378:O378"/>
    <mergeCell ref="L379:O379"/>
    <mergeCell ref="L380:O380"/>
    <mergeCell ref="L412:O412"/>
    <mergeCell ref="L413:O413"/>
    <mergeCell ref="L414:O414"/>
    <mergeCell ref="L415:O415"/>
    <mergeCell ref="L484:O484"/>
    <mergeCell ref="L476:O476"/>
    <mergeCell ref="L477:O477"/>
    <mergeCell ref="L487:O487"/>
    <mergeCell ref="L491:O491"/>
    <mergeCell ref="L478:O478"/>
    <mergeCell ref="L479:O479"/>
    <mergeCell ref="L483:O483"/>
    <mergeCell ref="L549:O549"/>
    <mergeCell ref="A308:D308"/>
    <mergeCell ref="A297:D297"/>
    <mergeCell ref="I388:K388"/>
    <mergeCell ref="I476:K476"/>
    <mergeCell ref="I464:K464"/>
    <mergeCell ref="I428:K428"/>
    <mergeCell ref="I423:K423"/>
    <mergeCell ref="I462:K462"/>
    <mergeCell ref="I463:K463"/>
    <mergeCell ref="I396:K396"/>
    <mergeCell ref="I413:K413"/>
    <mergeCell ref="I455:K455"/>
    <mergeCell ref="I445:K445"/>
    <mergeCell ref="I457:K457"/>
    <mergeCell ref="I446:K446"/>
    <mergeCell ref="I449:K449"/>
    <mergeCell ref="I448:K448"/>
    <mergeCell ref="I454:K454"/>
    <mergeCell ref="I447:K447"/>
    <mergeCell ref="I456:K456"/>
    <mergeCell ref="I415:K415"/>
    <mergeCell ref="I438:K438"/>
    <mergeCell ref="I435:K435"/>
    <mergeCell ref="I434:K434"/>
    <mergeCell ref="L599:O599"/>
    <mergeCell ref="L620:O620"/>
    <mergeCell ref="L600:O600"/>
    <mergeCell ref="L601:O601"/>
    <mergeCell ref="I585:K585"/>
    <mergeCell ref="I587:K587"/>
    <mergeCell ref="E614:F614"/>
    <mergeCell ref="E615:F615"/>
    <mergeCell ref="I607:K607"/>
    <mergeCell ref="I605:K605"/>
    <mergeCell ref="E604:F604"/>
    <mergeCell ref="E612:F612"/>
    <mergeCell ref="E613:F613"/>
    <mergeCell ref="I598:K598"/>
    <mergeCell ref="E596:F596"/>
    <mergeCell ref="E597:F597"/>
    <mergeCell ref="E598:F598"/>
    <mergeCell ref="E599:F599"/>
    <mergeCell ref="E600:F600"/>
    <mergeCell ref="I596:K596"/>
    <mergeCell ref="I597:K597"/>
    <mergeCell ref="I613:K613"/>
    <mergeCell ref="I614:K614"/>
    <mergeCell ref="I615:K615"/>
    <mergeCell ref="I246:K246"/>
    <mergeCell ref="I284:K284"/>
    <mergeCell ref="I275:K275"/>
    <mergeCell ref="I265:K265"/>
    <mergeCell ref="I281:K281"/>
    <mergeCell ref="L626:O626"/>
    <mergeCell ref="L608:O608"/>
    <mergeCell ref="L591:O591"/>
    <mergeCell ref="I412:K412"/>
    <mergeCell ref="I414:K414"/>
    <mergeCell ref="L590:O590"/>
    <mergeCell ref="L587:O587"/>
    <mergeCell ref="L592:O592"/>
    <mergeCell ref="L588:O588"/>
    <mergeCell ref="L589:O589"/>
    <mergeCell ref="L596:O596"/>
    <mergeCell ref="L597:O597"/>
    <mergeCell ref="L613:O613"/>
    <mergeCell ref="L622:O622"/>
    <mergeCell ref="L615:O615"/>
    <mergeCell ref="L616:O616"/>
    <mergeCell ref="L612:O612"/>
    <mergeCell ref="L625:O625"/>
    <mergeCell ref="I590:K590"/>
    <mergeCell ref="P612:R612"/>
    <mergeCell ref="I604:K604"/>
    <mergeCell ref="P604:R604"/>
    <mergeCell ref="L609:O609"/>
    <mergeCell ref="I606:K606"/>
    <mergeCell ref="I608:K608"/>
    <mergeCell ref="I612:K612"/>
    <mergeCell ref="I288:K288"/>
    <mergeCell ref="L288:O288"/>
    <mergeCell ref="I410:K410"/>
    <mergeCell ref="I394:K394"/>
    <mergeCell ref="I393:K393"/>
    <mergeCell ref="I307:K307"/>
    <mergeCell ref="I308:K308"/>
    <mergeCell ref="I317:K317"/>
    <mergeCell ref="I411:K411"/>
    <mergeCell ref="L604:O604"/>
    <mergeCell ref="L605:O605"/>
    <mergeCell ref="L606:O606"/>
    <mergeCell ref="L607:O607"/>
    <mergeCell ref="L598:O598"/>
    <mergeCell ref="I599:K599"/>
    <mergeCell ref="I600:K600"/>
    <mergeCell ref="L406:O406"/>
    <mergeCell ref="A586:D586"/>
    <mergeCell ref="P586:R586"/>
    <mergeCell ref="L586:O586"/>
    <mergeCell ref="I595:K595"/>
    <mergeCell ref="L595:O595"/>
    <mergeCell ref="P595:R595"/>
    <mergeCell ref="E595:F595"/>
    <mergeCell ref="I588:K588"/>
    <mergeCell ref="I589:K589"/>
    <mergeCell ref="I591:K591"/>
    <mergeCell ref="I586:K586"/>
    <mergeCell ref="L630:O630"/>
    <mergeCell ref="L631:O631"/>
    <mergeCell ref="L632:O632"/>
    <mergeCell ref="L633:O633"/>
    <mergeCell ref="L634:O634"/>
    <mergeCell ref="I630:K630"/>
    <mergeCell ref="I631:K631"/>
    <mergeCell ref="I632:K632"/>
    <mergeCell ref="E629:F629"/>
    <mergeCell ref="E630:F630"/>
    <mergeCell ref="E631:F631"/>
    <mergeCell ref="E632:F632"/>
    <mergeCell ref="I633:K633"/>
    <mergeCell ref="I634:K634"/>
    <mergeCell ref="E633:F633"/>
    <mergeCell ref="E634:F634"/>
    <mergeCell ref="A22:R22"/>
    <mergeCell ref="L43:N43"/>
    <mergeCell ref="L283:O283"/>
    <mergeCell ref="L285:O285"/>
    <mergeCell ref="L287:O287"/>
    <mergeCell ref="I283:K283"/>
    <mergeCell ref="I285:K285"/>
    <mergeCell ref="L284:O284"/>
    <mergeCell ref="L286:O286"/>
    <mergeCell ref="I146:K146"/>
    <mergeCell ref="I135:K135"/>
    <mergeCell ref="I136:K136"/>
    <mergeCell ref="I137:K137"/>
    <mergeCell ref="I223:K223"/>
    <mergeCell ref="I138:K138"/>
    <mergeCell ref="I139:K139"/>
    <mergeCell ref="I273:K273"/>
    <mergeCell ref="I274:K274"/>
    <mergeCell ref="I271:K271"/>
    <mergeCell ref="I272:K272"/>
    <mergeCell ref="I243:K243"/>
    <mergeCell ref="I252:K252"/>
    <mergeCell ref="I244:K244"/>
    <mergeCell ref="I245:K245"/>
  </mergeCells>
  <phoneticPr fontId="2"/>
  <pageMargins left="0.78740157480314965" right="0.78740157480314965" top="0.98425196850393704" bottom="0.98425196850393704" header="0.51181102362204722" footer="0.51181102362204722"/>
  <pageSetup paperSize="9" orientation="portrait" horizontalDpi="300" verticalDpi="300" r:id="rId1"/>
  <headerFooter alignWithMargins="0"/>
  <rowBreaks count="12" manualBreakCount="12">
    <brk id="55" max="16383" man="1"/>
    <brk id="111" max="16383" man="1"/>
    <brk id="164" max="16383" man="1"/>
    <brk id="220" max="16383" man="1"/>
    <brk id="268" max="16383" man="1"/>
    <brk id="323" max="16383" man="1"/>
    <brk id="374" max="16383" man="1"/>
    <brk id="418" max="16383" man="1"/>
    <brk id="470" max="16383" man="1"/>
    <brk id="526" max="16383" man="1"/>
    <brk id="581" max="16383" man="1"/>
    <brk id="63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7C7E0-BA18-409D-9448-5FB92839C771}">
  <sheetPr codeName="Sheet5"/>
  <dimension ref="B2:AE44"/>
  <sheetViews>
    <sheetView topLeftCell="B1" workbookViewId="0">
      <selection activeCell="N10" sqref="N10"/>
    </sheetView>
  </sheetViews>
  <sheetFormatPr defaultColWidth="9" defaultRowHeight="13.5" x14ac:dyDescent="0.15"/>
  <cols>
    <col min="1" max="1" width="1.75" style="181" customWidth="1"/>
    <col min="2" max="12" width="7.75" style="181" customWidth="1"/>
    <col min="13" max="16384" width="9" style="181"/>
  </cols>
  <sheetData>
    <row r="2" spans="2:31" x14ac:dyDescent="0.15">
      <c r="B2" s="181" t="s">
        <v>623</v>
      </c>
    </row>
    <row r="3" spans="2:31" ht="15" customHeight="1" x14ac:dyDescent="0.15">
      <c r="B3" s="762"/>
      <c r="C3" s="457" t="s">
        <v>624</v>
      </c>
      <c r="D3" s="762" t="s">
        <v>625</v>
      </c>
      <c r="E3" s="457" t="s">
        <v>626</v>
      </c>
      <c r="F3" s="457" t="s">
        <v>627</v>
      </c>
      <c r="G3" s="762" t="s">
        <v>185</v>
      </c>
      <c r="H3" s="355" t="s">
        <v>628</v>
      </c>
      <c r="I3" s="459" t="s">
        <v>88</v>
      </c>
      <c r="J3" s="459" t="s">
        <v>629</v>
      </c>
      <c r="K3" s="762" t="s">
        <v>630</v>
      </c>
      <c r="L3" s="762" t="s">
        <v>92</v>
      </c>
      <c r="O3" s="181" t="s">
        <v>631</v>
      </c>
    </row>
    <row r="4" spans="2:31" ht="15" customHeight="1" x14ac:dyDescent="0.15">
      <c r="B4" s="763"/>
      <c r="C4" s="458" t="s">
        <v>632</v>
      </c>
      <c r="D4" s="763"/>
      <c r="E4" s="458" t="s">
        <v>633</v>
      </c>
      <c r="F4" s="458" t="s">
        <v>625</v>
      </c>
      <c r="G4" s="763"/>
      <c r="H4" s="356" t="s">
        <v>567</v>
      </c>
      <c r="I4" s="460" t="s">
        <v>634</v>
      </c>
      <c r="J4" s="460" t="s">
        <v>635</v>
      </c>
      <c r="K4" s="763"/>
      <c r="L4" s="763"/>
      <c r="O4" s="326"/>
      <c r="P4" s="326" t="s">
        <v>636</v>
      </c>
      <c r="Q4" s="326" t="s">
        <v>637</v>
      </c>
      <c r="R4" s="326" t="s">
        <v>638</v>
      </c>
      <c r="S4" s="326" t="s">
        <v>639</v>
      </c>
      <c r="T4" s="326" t="s">
        <v>640</v>
      </c>
      <c r="U4" s="326" t="s">
        <v>641</v>
      </c>
      <c r="V4" s="326" t="s">
        <v>642</v>
      </c>
      <c r="W4" s="326" t="s">
        <v>643</v>
      </c>
      <c r="X4" s="326" t="s">
        <v>644</v>
      </c>
      <c r="Y4" s="326" t="s">
        <v>645</v>
      </c>
      <c r="Z4" s="326" t="s">
        <v>646</v>
      </c>
      <c r="AA4" s="326" t="s">
        <v>647</v>
      </c>
    </row>
    <row r="5" spans="2:31" ht="20.100000000000001" customHeight="1" x14ac:dyDescent="0.15">
      <c r="B5" s="324">
        <v>1</v>
      </c>
      <c r="C5" s="335">
        <f>条件入力!M3</f>
        <v>100</v>
      </c>
      <c r="D5" s="326">
        <f>IF(条件入力!O3&gt;0,VLOOKUP(条件入力!O3,O27:Q38,3),0)</f>
        <v>7.2</v>
      </c>
      <c r="E5" s="326">
        <f>IF(条件入力!Q3&lt;201,供用日!T27,供用日!U27)</f>
        <v>1</v>
      </c>
      <c r="F5" s="326">
        <f>ROUND(D5*E5,3)</f>
        <v>7.2</v>
      </c>
      <c r="G5" s="326">
        <f>IF(C5&gt;0,ROUNDUP(C5/F5,0),0)</f>
        <v>14</v>
      </c>
      <c r="H5" s="326">
        <f>IF(C5&gt;0,2,"")</f>
        <v>2</v>
      </c>
      <c r="I5" s="326">
        <f>IF(条件入力!V3=1,1,0)</f>
        <v>0</v>
      </c>
      <c r="J5" s="326">
        <v>0</v>
      </c>
      <c r="K5" s="326">
        <f>条件入力!D31</f>
        <v>1.5</v>
      </c>
      <c r="L5" s="326">
        <f>IF(C5&gt;0,ROUND((G5+H5+I5+J5)*K5,0),0)</f>
        <v>24</v>
      </c>
      <c r="O5" s="326">
        <v>350</v>
      </c>
      <c r="P5" s="326">
        <v>0.9</v>
      </c>
      <c r="Q5" s="326">
        <v>0.8</v>
      </c>
      <c r="R5" s="326">
        <v>0.8</v>
      </c>
      <c r="S5" s="326">
        <v>0.8</v>
      </c>
      <c r="T5" s="326">
        <v>0.8</v>
      </c>
      <c r="U5" s="357" t="s">
        <v>648</v>
      </c>
      <c r="V5" s="357" t="s">
        <v>648</v>
      </c>
      <c r="W5" s="357" t="s">
        <v>648</v>
      </c>
      <c r="X5" s="357" t="s">
        <v>648</v>
      </c>
      <c r="Y5" s="357" t="s">
        <v>648</v>
      </c>
      <c r="Z5" s="357" t="s">
        <v>648</v>
      </c>
      <c r="AA5" s="357" t="s">
        <v>648</v>
      </c>
    </row>
    <row r="6" spans="2:31" ht="20.100000000000001" customHeight="1" x14ac:dyDescent="0.15">
      <c r="B6" s="324">
        <v>2</v>
      </c>
      <c r="C6" s="335">
        <f>条件入力!M4</f>
        <v>0</v>
      </c>
      <c r="D6" s="326">
        <f>IF(条件入力!O4&gt;0,VLOOKUP(条件入力!O4,O27:Q38,3),0)</f>
        <v>0</v>
      </c>
      <c r="E6" s="326">
        <f>IF(条件入力!Q4&lt;201,供用日!T28,供用日!U28)</f>
        <v>1</v>
      </c>
      <c r="F6" s="326">
        <f t="shared" ref="F6:F19" si="0">ROUND(D6*E6,3)</f>
        <v>0</v>
      </c>
      <c r="G6" s="326">
        <f>IF(C6&gt;0,ROUNDUP(C6/F6,0),0)</f>
        <v>0</v>
      </c>
      <c r="H6" s="326" t="str">
        <f t="shared" ref="H6:H19" si="1">IF(C6&gt;0,2,"")</f>
        <v/>
      </c>
      <c r="I6" s="326">
        <f>IF(条件入力!V4=1,1,0)</f>
        <v>0</v>
      </c>
      <c r="J6" s="326">
        <f>IF(条件入力!X4=1,3,0)</f>
        <v>0</v>
      </c>
      <c r="K6" s="326">
        <f>条件入力!D31</f>
        <v>1.5</v>
      </c>
      <c r="L6" s="326">
        <f t="shared" ref="L6:L19" si="2">IF(C6&gt;0,ROUND((G6+H6+I6+J6)*K6,0),0)</f>
        <v>0</v>
      </c>
      <c r="O6" s="326">
        <v>400</v>
      </c>
      <c r="P6" s="326">
        <v>0.9</v>
      </c>
      <c r="Q6" s="326">
        <v>0.9</v>
      </c>
      <c r="R6" s="326">
        <v>0.8</v>
      </c>
      <c r="S6" s="326">
        <v>0.8</v>
      </c>
      <c r="T6" s="326">
        <v>0.8</v>
      </c>
      <c r="U6" s="326">
        <v>0.8</v>
      </c>
      <c r="V6" s="357" t="s">
        <v>648</v>
      </c>
      <c r="W6" s="357" t="s">
        <v>648</v>
      </c>
      <c r="X6" s="357" t="s">
        <v>648</v>
      </c>
      <c r="Y6" s="357" t="s">
        <v>648</v>
      </c>
      <c r="Z6" s="357" t="s">
        <v>648</v>
      </c>
      <c r="AA6" s="357" t="s">
        <v>648</v>
      </c>
    </row>
    <row r="7" spans="2:31" ht="20.100000000000001" customHeight="1" x14ac:dyDescent="0.15">
      <c r="B7" s="324">
        <v>3</v>
      </c>
      <c r="C7" s="335">
        <f>条件入力!M5</f>
        <v>0</v>
      </c>
      <c r="D7" s="326">
        <f>IF(条件入力!O5&gt;0,VLOOKUP(条件入力!O5,O27:Q38,3),0)</f>
        <v>0</v>
      </c>
      <c r="E7" s="326">
        <f>IF(条件入力!Q5&lt;201,供用日!T29,供用日!U29)</f>
        <v>1</v>
      </c>
      <c r="F7" s="326">
        <f t="shared" si="0"/>
        <v>0</v>
      </c>
      <c r="G7" s="326">
        <f t="shared" ref="G7:G19" si="3">IF(C7&gt;0,ROUNDUP(C7/F7,0),0)</f>
        <v>0</v>
      </c>
      <c r="H7" s="326" t="str">
        <f t="shared" si="1"/>
        <v/>
      </c>
      <c r="I7" s="326">
        <f>IF(条件入力!V5=1,1,0)</f>
        <v>0</v>
      </c>
      <c r="J7" s="326">
        <f>IF(条件入力!X5=1,3,0)</f>
        <v>0</v>
      </c>
      <c r="K7" s="326">
        <f>条件入力!D31</f>
        <v>1.5</v>
      </c>
      <c r="L7" s="326">
        <f t="shared" si="2"/>
        <v>0</v>
      </c>
      <c r="O7" s="326">
        <v>450</v>
      </c>
      <c r="P7" s="326">
        <v>0.9</v>
      </c>
      <c r="Q7" s="326">
        <v>0.9</v>
      </c>
      <c r="R7" s="326">
        <v>0.9</v>
      </c>
      <c r="S7" s="326">
        <v>0.8</v>
      </c>
      <c r="T7" s="326">
        <v>0.8</v>
      </c>
      <c r="U7" s="326">
        <v>0.8</v>
      </c>
      <c r="V7" s="326">
        <v>0.8</v>
      </c>
      <c r="W7" s="357" t="s">
        <v>648</v>
      </c>
      <c r="X7" s="357" t="s">
        <v>648</v>
      </c>
      <c r="Y7" s="357" t="s">
        <v>648</v>
      </c>
      <c r="Z7" s="357" t="s">
        <v>648</v>
      </c>
      <c r="AA7" s="357" t="s">
        <v>648</v>
      </c>
    </row>
    <row r="8" spans="2:31" ht="20.100000000000001" customHeight="1" x14ac:dyDescent="0.15">
      <c r="B8" s="324">
        <v>4</v>
      </c>
      <c r="C8" s="335">
        <f>条件入力!M6</f>
        <v>0</v>
      </c>
      <c r="D8" s="326">
        <f>IF(条件入力!O6&gt;0,VLOOKUP(条件入力!O6,O27:Q38,3),0)</f>
        <v>0</v>
      </c>
      <c r="E8" s="326">
        <f>IF(条件入力!Q6&lt;201,供用日!T30,供用日!U30)</f>
        <v>1</v>
      </c>
      <c r="F8" s="326">
        <f t="shared" si="0"/>
        <v>0</v>
      </c>
      <c r="G8" s="326">
        <f t="shared" si="3"/>
        <v>0</v>
      </c>
      <c r="H8" s="326" t="str">
        <f t="shared" si="1"/>
        <v/>
      </c>
      <c r="I8" s="326">
        <f>IF(条件入力!V6=1,1,0)</f>
        <v>0</v>
      </c>
      <c r="J8" s="326">
        <f>IF(条件入力!X6=1,3,0)</f>
        <v>0</v>
      </c>
      <c r="K8" s="326">
        <f>条件入力!D31</f>
        <v>1.5</v>
      </c>
      <c r="L8" s="326">
        <f t="shared" si="2"/>
        <v>0</v>
      </c>
      <c r="O8" s="347">
        <v>500</v>
      </c>
      <c r="P8" s="347">
        <v>1</v>
      </c>
      <c r="Q8" s="347">
        <v>0.9</v>
      </c>
      <c r="R8" s="347">
        <v>0.9</v>
      </c>
      <c r="S8" s="347">
        <v>0.9</v>
      </c>
      <c r="T8" s="347">
        <v>0.8</v>
      </c>
      <c r="U8" s="347">
        <v>0.8</v>
      </c>
      <c r="V8" s="347">
        <v>0.8</v>
      </c>
      <c r="W8" s="347">
        <v>0.8</v>
      </c>
      <c r="X8" s="357" t="s">
        <v>648</v>
      </c>
      <c r="Y8" s="357" t="s">
        <v>648</v>
      </c>
      <c r="Z8" s="357" t="s">
        <v>648</v>
      </c>
      <c r="AA8" s="357" t="s">
        <v>648</v>
      </c>
    </row>
    <row r="9" spans="2:31" ht="20.100000000000001" customHeight="1" x14ac:dyDescent="0.15">
      <c r="B9" s="324">
        <v>5</v>
      </c>
      <c r="C9" s="335">
        <f>条件入力!M7</f>
        <v>0</v>
      </c>
      <c r="D9" s="326">
        <f>IF(条件入力!O7&gt;0,VLOOKUP(条件入力!O7,O27:Q38,3),0)</f>
        <v>0</v>
      </c>
      <c r="E9" s="326">
        <f>IF(条件入力!Q7&lt;201,供用日!T31,供用日!U31)</f>
        <v>1</v>
      </c>
      <c r="F9" s="326">
        <f t="shared" si="0"/>
        <v>0</v>
      </c>
      <c r="G9" s="326">
        <f t="shared" si="3"/>
        <v>0</v>
      </c>
      <c r="H9" s="326" t="str">
        <f t="shared" si="1"/>
        <v/>
      </c>
      <c r="I9" s="326">
        <f>IF(条件入力!V7=1,1,0)</f>
        <v>0</v>
      </c>
      <c r="J9" s="326">
        <f>IF(条件入力!X7=1,3,0)</f>
        <v>0</v>
      </c>
      <c r="K9" s="326">
        <f>条件入力!D31</f>
        <v>1.5</v>
      </c>
      <c r="L9" s="326">
        <f t="shared" si="2"/>
        <v>0</v>
      </c>
      <c r="O9" s="326">
        <v>600</v>
      </c>
      <c r="P9" s="326">
        <v>1</v>
      </c>
      <c r="Q9" s="326">
        <v>1</v>
      </c>
      <c r="R9" s="326">
        <v>1</v>
      </c>
      <c r="S9" s="326">
        <v>1</v>
      </c>
      <c r="T9" s="326">
        <v>1</v>
      </c>
      <c r="U9" s="326">
        <v>0.9</v>
      </c>
      <c r="V9" s="326">
        <v>0.9</v>
      </c>
      <c r="W9" s="326">
        <v>0.9</v>
      </c>
      <c r="X9" s="326">
        <v>0.9</v>
      </c>
      <c r="Y9" s="326">
        <v>0.8</v>
      </c>
      <c r="Z9" s="326">
        <v>0.8</v>
      </c>
      <c r="AA9" s="357" t="s">
        <v>648</v>
      </c>
    </row>
    <row r="10" spans="2:31" ht="20.100000000000001" customHeight="1" x14ac:dyDescent="0.15">
      <c r="B10" s="324">
        <v>6</v>
      </c>
      <c r="C10" s="335">
        <f>条件入力!M8</f>
        <v>0</v>
      </c>
      <c r="D10" s="326">
        <f>IF(条件入力!O8&gt;0,VLOOKUP(条件入力!O8,O27:Q38,3),0)</f>
        <v>0</v>
      </c>
      <c r="E10" s="326">
        <f>IF(条件入力!Q8&lt;201,供用日!T32,供用日!U32)</f>
        <v>1</v>
      </c>
      <c r="F10" s="326">
        <f t="shared" si="0"/>
        <v>0</v>
      </c>
      <c r="G10" s="326">
        <f t="shared" si="3"/>
        <v>0</v>
      </c>
      <c r="H10" s="326" t="str">
        <f t="shared" si="1"/>
        <v/>
      </c>
      <c r="I10" s="326">
        <f>IF(条件入力!V8=1,1,0)</f>
        <v>0</v>
      </c>
      <c r="J10" s="326">
        <f>IF(条件入力!X8=1,3,0)</f>
        <v>0</v>
      </c>
      <c r="K10" s="326">
        <f>条件入力!D31</f>
        <v>1.5</v>
      </c>
      <c r="L10" s="326">
        <f t="shared" si="2"/>
        <v>0</v>
      </c>
      <c r="O10" s="326">
        <v>700</v>
      </c>
      <c r="P10" s="326">
        <v>1</v>
      </c>
      <c r="Q10" s="326">
        <v>1</v>
      </c>
      <c r="R10" s="326">
        <v>1</v>
      </c>
      <c r="S10" s="326">
        <v>1</v>
      </c>
      <c r="T10" s="326">
        <v>1</v>
      </c>
      <c r="U10" s="326">
        <v>1</v>
      </c>
      <c r="V10" s="326">
        <v>0.9</v>
      </c>
      <c r="W10" s="326">
        <v>0.9</v>
      </c>
      <c r="X10" s="326">
        <v>0.9</v>
      </c>
      <c r="Y10" s="326">
        <v>0.9</v>
      </c>
      <c r="Z10" s="326">
        <v>0.8</v>
      </c>
      <c r="AA10" s="326">
        <v>0.8</v>
      </c>
    </row>
    <row r="11" spans="2:31" ht="20.100000000000001" customHeight="1" x14ac:dyDescent="0.15">
      <c r="B11" s="324">
        <v>7</v>
      </c>
      <c r="C11" s="335">
        <f>条件入力!M9</f>
        <v>0</v>
      </c>
      <c r="D11" s="326">
        <f>IF(条件入力!O9&gt;0,VLOOKUP(条件入力!O9,O27:Q38,3),0)</f>
        <v>0</v>
      </c>
      <c r="E11" s="326">
        <f>IF(条件入力!Q9&lt;201,供用日!T33,供用日!U33)</f>
        <v>1</v>
      </c>
      <c r="F11" s="326">
        <f t="shared" si="0"/>
        <v>0</v>
      </c>
      <c r="G11" s="326">
        <f t="shared" si="3"/>
        <v>0</v>
      </c>
      <c r="H11" s="326" t="str">
        <f t="shared" si="1"/>
        <v/>
      </c>
      <c r="I11" s="326">
        <f>IF(条件入力!V9=1,1,0)</f>
        <v>0</v>
      </c>
      <c r="J11" s="326">
        <f>IF(条件入力!X9=1,3,0)</f>
        <v>0</v>
      </c>
      <c r="K11" s="326">
        <f>条件入力!D31</f>
        <v>1.5</v>
      </c>
      <c r="L11" s="326">
        <f t="shared" si="2"/>
        <v>0</v>
      </c>
      <c r="P11" s="358">
        <v>2</v>
      </c>
      <c r="Q11" s="358">
        <v>3</v>
      </c>
      <c r="R11" s="358">
        <v>4</v>
      </c>
      <c r="S11" s="358">
        <v>5</v>
      </c>
      <c r="T11" s="358">
        <v>6</v>
      </c>
      <c r="U11" s="358">
        <v>7</v>
      </c>
      <c r="V11" s="358">
        <v>8</v>
      </c>
      <c r="W11" s="358">
        <v>9</v>
      </c>
      <c r="X11" s="358">
        <v>10</v>
      </c>
      <c r="Y11" s="358">
        <v>11</v>
      </c>
      <c r="Z11" s="358">
        <v>12</v>
      </c>
      <c r="AA11" s="358">
        <v>13</v>
      </c>
    </row>
    <row r="12" spans="2:31" ht="20.100000000000001" customHeight="1" x14ac:dyDescent="0.15">
      <c r="B12" s="324">
        <v>8</v>
      </c>
      <c r="C12" s="335">
        <f>条件入力!M10</f>
        <v>0</v>
      </c>
      <c r="D12" s="326">
        <f>IF(条件入力!O10&gt;0,VLOOKUP(条件入力!O10,O27:Q38,3),0)</f>
        <v>0</v>
      </c>
      <c r="E12" s="326">
        <f>IF(条件入力!Q10&lt;201,供用日!T34,供用日!U34)</f>
        <v>1</v>
      </c>
      <c r="F12" s="326">
        <f t="shared" si="0"/>
        <v>0</v>
      </c>
      <c r="G12" s="326">
        <f t="shared" si="3"/>
        <v>0</v>
      </c>
      <c r="H12" s="326" t="str">
        <f t="shared" si="1"/>
        <v/>
      </c>
      <c r="I12" s="326">
        <f>IF(条件入力!V10=1,1,0)</f>
        <v>0</v>
      </c>
      <c r="J12" s="326">
        <f>IF(条件入力!X10=1,3,0)</f>
        <v>0</v>
      </c>
      <c r="K12" s="326">
        <f>条件入力!D31</f>
        <v>1.5</v>
      </c>
      <c r="L12" s="326">
        <f t="shared" si="2"/>
        <v>0</v>
      </c>
      <c r="O12" s="181" t="s">
        <v>649</v>
      </c>
    </row>
    <row r="13" spans="2:31" ht="20.100000000000001" customHeight="1" x14ac:dyDescent="0.15">
      <c r="B13" s="324">
        <v>9</v>
      </c>
      <c r="C13" s="335">
        <f>条件入力!M11</f>
        <v>0</v>
      </c>
      <c r="D13" s="326">
        <f>IF(条件入力!O11&gt;0,VLOOKUP(条件入力!O11,O27:Q38,3),0)</f>
        <v>0</v>
      </c>
      <c r="E13" s="326">
        <f>IF(条件入力!Q11&lt;201,供用日!T35,供用日!U35)</f>
        <v>1</v>
      </c>
      <c r="F13" s="326">
        <f t="shared" si="0"/>
        <v>0</v>
      </c>
      <c r="G13" s="326">
        <f t="shared" si="3"/>
        <v>0</v>
      </c>
      <c r="H13" s="326" t="str">
        <f t="shared" si="1"/>
        <v/>
      </c>
      <c r="I13" s="326">
        <f>IF(条件入力!V11=1,1,0)</f>
        <v>0</v>
      </c>
      <c r="J13" s="326">
        <f>IF(条件入力!X11=1,3,0)</f>
        <v>0</v>
      </c>
      <c r="K13" s="326">
        <f>条件入力!D31</f>
        <v>1.5</v>
      </c>
      <c r="L13" s="326">
        <f t="shared" si="2"/>
        <v>0</v>
      </c>
      <c r="O13" s="324"/>
      <c r="P13" s="761" t="s">
        <v>243</v>
      </c>
      <c r="Q13" s="761"/>
      <c r="R13" s="761" t="s">
        <v>244</v>
      </c>
      <c r="S13" s="761"/>
      <c r="T13" s="761" t="s">
        <v>650</v>
      </c>
      <c r="U13" s="761"/>
      <c r="V13" s="761" t="s">
        <v>104</v>
      </c>
      <c r="W13" s="761"/>
      <c r="X13" s="761" t="s">
        <v>651</v>
      </c>
      <c r="Y13" s="761"/>
      <c r="Z13" s="761" t="s">
        <v>652</v>
      </c>
      <c r="AA13" s="761"/>
      <c r="AB13" s="326" t="s">
        <v>653</v>
      </c>
      <c r="AC13" s="326" t="s">
        <v>654</v>
      </c>
      <c r="AD13" s="326" t="s">
        <v>655</v>
      </c>
      <c r="AE13" s="326" t="s">
        <v>656</v>
      </c>
    </row>
    <row r="14" spans="2:31" ht="20.100000000000001" customHeight="1" x14ac:dyDescent="0.15">
      <c r="B14" s="324">
        <v>10</v>
      </c>
      <c r="C14" s="335">
        <f>条件入力!M12</f>
        <v>0</v>
      </c>
      <c r="D14" s="326">
        <f>IF(条件入力!O12&gt;0,VLOOKUP(条件入力!O12,O27:Q38,3),0)</f>
        <v>0</v>
      </c>
      <c r="E14" s="326">
        <f>IF(条件入力!Q12&lt;201,供用日!T36,供用日!U36)</f>
        <v>1</v>
      </c>
      <c r="F14" s="326">
        <f t="shared" si="0"/>
        <v>0</v>
      </c>
      <c r="G14" s="326">
        <f t="shared" si="3"/>
        <v>0</v>
      </c>
      <c r="H14" s="326" t="str">
        <f>IF(C14&gt;0,2,"")</f>
        <v/>
      </c>
      <c r="I14" s="326">
        <f>IF(条件入力!V12=1,1,0)</f>
        <v>0</v>
      </c>
      <c r="J14" s="326">
        <f>IF(条件入力!X12=1,3,0)</f>
        <v>0</v>
      </c>
      <c r="K14" s="326">
        <f>条件入力!D31</f>
        <v>1.5</v>
      </c>
      <c r="L14" s="326">
        <f t="shared" si="2"/>
        <v>0</v>
      </c>
      <c r="O14" s="326"/>
      <c r="P14" s="326" t="s">
        <v>657</v>
      </c>
      <c r="Q14" s="326" t="s">
        <v>315</v>
      </c>
      <c r="R14" s="326" t="s">
        <v>657</v>
      </c>
      <c r="S14" s="326" t="s">
        <v>315</v>
      </c>
      <c r="T14" s="326" t="s">
        <v>657</v>
      </c>
      <c r="U14" s="326" t="s">
        <v>315</v>
      </c>
      <c r="V14" s="326" t="s">
        <v>657</v>
      </c>
      <c r="W14" s="326" t="s">
        <v>315</v>
      </c>
      <c r="X14" s="326" t="s">
        <v>657</v>
      </c>
      <c r="Y14" s="326" t="s">
        <v>315</v>
      </c>
      <c r="Z14" s="326" t="s">
        <v>657</v>
      </c>
      <c r="AA14" s="326" t="s">
        <v>315</v>
      </c>
      <c r="AB14" s="326" t="s">
        <v>315</v>
      </c>
      <c r="AC14" s="326" t="s">
        <v>315</v>
      </c>
      <c r="AD14" s="326" t="s">
        <v>315</v>
      </c>
      <c r="AE14" s="326" t="s">
        <v>315</v>
      </c>
    </row>
    <row r="15" spans="2:31" ht="20.100000000000001" customHeight="1" x14ac:dyDescent="0.15">
      <c r="B15" s="324">
        <v>11</v>
      </c>
      <c r="C15" s="335">
        <f>条件入力!M13</f>
        <v>0</v>
      </c>
      <c r="D15" s="326">
        <f>IF(条件入力!O13&gt;0,VLOOKUP(条件入力!O13,O27:Q38,3),0)</f>
        <v>0</v>
      </c>
      <c r="E15" s="326">
        <f>IF(条件入力!Q13&lt;201,供用日!T37,供用日!U37)</f>
        <v>1</v>
      </c>
      <c r="F15" s="326">
        <f t="shared" si="0"/>
        <v>0</v>
      </c>
      <c r="G15" s="326">
        <f t="shared" si="3"/>
        <v>0</v>
      </c>
      <c r="H15" s="326" t="str">
        <f t="shared" si="1"/>
        <v/>
      </c>
      <c r="I15" s="326">
        <f>IF(条件入力!V13=1,1,0)</f>
        <v>0</v>
      </c>
      <c r="J15" s="326">
        <f>IF(条件入力!X13=1,3,0)</f>
        <v>0</v>
      </c>
      <c r="K15" s="326">
        <f>条件入力!D31</f>
        <v>1.5</v>
      </c>
      <c r="L15" s="326">
        <f t="shared" si="2"/>
        <v>0</v>
      </c>
      <c r="O15" s="326">
        <v>250</v>
      </c>
      <c r="P15" s="326">
        <v>6.2</v>
      </c>
      <c r="Q15" s="326">
        <v>9.1</v>
      </c>
      <c r="R15" s="326">
        <v>4.9000000000000004</v>
      </c>
      <c r="S15" s="326">
        <v>6.5</v>
      </c>
      <c r="T15" s="326">
        <v>3.4</v>
      </c>
      <c r="U15" s="326">
        <v>4.0999999999999996</v>
      </c>
      <c r="V15" s="326">
        <v>0</v>
      </c>
      <c r="W15" s="326">
        <v>0</v>
      </c>
      <c r="X15" s="326">
        <v>3</v>
      </c>
      <c r="Y15" s="326">
        <v>3.5</v>
      </c>
      <c r="Z15" s="326">
        <v>0</v>
      </c>
      <c r="AA15" s="326">
        <v>0</v>
      </c>
      <c r="AB15" s="326">
        <v>0</v>
      </c>
      <c r="AC15" s="326">
        <v>0</v>
      </c>
      <c r="AD15" s="326">
        <v>0</v>
      </c>
      <c r="AE15" s="326">
        <v>0</v>
      </c>
    </row>
    <row r="16" spans="2:31" ht="20.100000000000001" customHeight="1" x14ac:dyDescent="0.15">
      <c r="B16" s="324">
        <v>12</v>
      </c>
      <c r="C16" s="335">
        <f>条件入力!M14</f>
        <v>0</v>
      </c>
      <c r="D16" s="326">
        <f>IF(条件入力!O14&gt;0,VLOOKUP(条件入力!O14,O27:Q38,3),0)</f>
        <v>0</v>
      </c>
      <c r="E16" s="326">
        <f>IF(条件入力!Q14&lt;201,供用日!T38,供用日!U38)</f>
        <v>1</v>
      </c>
      <c r="F16" s="326">
        <f t="shared" si="0"/>
        <v>0</v>
      </c>
      <c r="G16" s="326">
        <f t="shared" si="3"/>
        <v>0</v>
      </c>
      <c r="H16" s="326" t="str">
        <f t="shared" si="1"/>
        <v/>
      </c>
      <c r="I16" s="326">
        <f>IF(条件入力!V14=1,1,0)</f>
        <v>0</v>
      </c>
      <c r="J16" s="326">
        <f>IF(条件入力!X14=1,3,0)</f>
        <v>0</v>
      </c>
      <c r="K16" s="326">
        <f>条件入力!D31</f>
        <v>1.5</v>
      </c>
      <c r="L16" s="326">
        <f t="shared" si="2"/>
        <v>0</v>
      </c>
      <c r="O16" s="326">
        <v>300</v>
      </c>
      <c r="P16" s="326">
        <v>6.2</v>
      </c>
      <c r="Q16" s="326">
        <v>9.1</v>
      </c>
      <c r="R16" s="326">
        <v>4.9000000000000004</v>
      </c>
      <c r="S16" s="326">
        <v>6.5</v>
      </c>
      <c r="T16" s="326">
        <v>3.4</v>
      </c>
      <c r="U16" s="326">
        <v>4.0999999999999996</v>
      </c>
      <c r="V16" s="326">
        <v>0</v>
      </c>
      <c r="W16" s="326">
        <v>0</v>
      </c>
      <c r="X16" s="326">
        <v>3</v>
      </c>
      <c r="Y16" s="326">
        <v>3.5</v>
      </c>
      <c r="Z16" s="326">
        <v>0</v>
      </c>
      <c r="AA16" s="326">
        <v>0</v>
      </c>
      <c r="AB16" s="326">
        <v>0</v>
      </c>
      <c r="AC16" s="326">
        <v>0</v>
      </c>
      <c r="AD16" s="326">
        <v>0</v>
      </c>
      <c r="AE16" s="326">
        <v>0</v>
      </c>
    </row>
    <row r="17" spans="2:31" ht="20.100000000000001" customHeight="1" x14ac:dyDescent="0.15">
      <c r="B17" s="324">
        <v>13</v>
      </c>
      <c r="C17" s="335">
        <f>条件入力!M15</f>
        <v>0</v>
      </c>
      <c r="D17" s="326">
        <f>IF(条件入力!O15&gt;0,VLOOKUP(条件入力!O15,O27:Q38,3),0)</f>
        <v>0</v>
      </c>
      <c r="E17" s="326">
        <f>IF(条件入力!Q15&lt;201,供用日!T39,供用日!U39)</f>
        <v>1</v>
      </c>
      <c r="F17" s="326">
        <f t="shared" si="0"/>
        <v>0</v>
      </c>
      <c r="G17" s="326">
        <f t="shared" si="3"/>
        <v>0</v>
      </c>
      <c r="H17" s="326" t="str">
        <f t="shared" si="1"/>
        <v/>
      </c>
      <c r="I17" s="326">
        <f>IF(条件入力!V15=1,1,0)</f>
        <v>0</v>
      </c>
      <c r="J17" s="326">
        <f>IF(条件入力!X15=1,3,0)</f>
        <v>0</v>
      </c>
      <c r="K17" s="326">
        <f>条件入力!D31</f>
        <v>1.5</v>
      </c>
      <c r="L17" s="326">
        <f t="shared" si="2"/>
        <v>0</v>
      </c>
      <c r="O17" s="326">
        <v>350</v>
      </c>
      <c r="P17" s="326">
        <v>7.2</v>
      </c>
      <c r="Q17" s="326">
        <v>10.3</v>
      </c>
      <c r="R17" s="326">
        <v>5.5</v>
      </c>
      <c r="S17" s="326">
        <v>7.2</v>
      </c>
      <c r="T17" s="326">
        <v>3.7</v>
      </c>
      <c r="U17" s="326">
        <v>4.4000000000000004</v>
      </c>
      <c r="V17" s="326">
        <v>0</v>
      </c>
      <c r="W17" s="326">
        <v>0</v>
      </c>
      <c r="X17" s="326">
        <v>3.3</v>
      </c>
      <c r="Y17" s="326">
        <v>3.8</v>
      </c>
      <c r="Z17" s="326">
        <v>2.9</v>
      </c>
      <c r="AA17" s="326">
        <v>3.3</v>
      </c>
      <c r="AB17" s="326">
        <v>0</v>
      </c>
      <c r="AC17" s="326">
        <v>0</v>
      </c>
      <c r="AD17" s="326">
        <v>0</v>
      </c>
      <c r="AE17" s="326">
        <v>0</v>
      </c>
    </row>
    <row r="18" spans="2:31" ht="20.100000000000001" customHeight="1" x14ac:dyDescent="0.15">
      <c r="B18" s="324">
        <v>14</v>
      </c>
      <c r="C18" s="335">
        <f>条件入力!M16</f>
        <v>0</v>
      </c>
      <c r="D18" s="326">
        <f>IF(条件入力!O16&gt;0,VLOOKUP(条件入力!O16,O27:Q38,3),0)</f>
        <v>0</v>
      </c>
      <c r="E18" s="326">
        <f>IF(条件入力!Q16&lt;201,供用日!T40,供用日!U40)</f>
        <v>1</v>
      </c>
      <c r="F18" s="326">
        <f t="shared" si="0"/>
        <v>0</v>
      </c>
      <c r="G18" s="326">
        <f t="shared" si="3"/>
        <v>0</v>
      </c>
      <c r="H18" s="326" t="str">
        <f t="shared" si="1"/>
        <v/>
      </c>
      <c r="I18" s="326">
        <f>IF(条件入力!V16=1,1,0)</f>
        <v>0</v>
      </c>
      <c r="J18" s="326">
        <f>IF(条件入力!X16=1,3,0)</f>
        <v>0</v>
      </c>
      <c r="K18" s="326">
        <f>条件入力!D31</f>
        <v>1.5</v>
      </c>
      <c r="L18" s="326">
        <f t="shared" si="2"/>
        <v>0</v>
      </c>
      <c r="O18" s="326">
        <v>400</v>
      </c>
      <c r="P18" s="326">
        <v>7.2</v>
      </c>
      <c r="Q18" s="326">
        <v>10.3</v>
      </c>
      <c r="R18" s="326">
        <v>5.5</v>
      </c>
      <c r="S18" s="326">
        <v>7.2</v>
      </c>
      <c r="T18" s="326">
        <v>3.7</v>
      </c>
      <c r="U18" s="326">
        <v>4.4000000000000004</v>
      </c>
      <c r="V18" s="326">
        <v>0</v>
      </c>
      <c r="W18" s="326">
        <v>0</v>
      </c>
      <c r="X18" s="326">
        <v>3.3</v>
      </c>
      <c r="Y18" s="326">
        <v>3.8</v>
      </c>
      <c r="Z18" s="326">
        <v>2.9</v>
      </c>
      <c r="AA18" s="326">
        <v>3.3</v>
      </c>
      <c r="AB18" s="326">
        <v>0</v>
      </c>
      <c r="AC18" s="326">
        <v>0</v>
      </c>
      <c r="AD18" s="326">
        <v>0</v>
      </c>
      <c r="AE18" s="326">
        <v>0</v>
      </c>
    </row>
    <row r="19" spans="2:31" ht="20.100000000000001" customHeight="1" x14ac:dyDescent="0.15">
      <c r="B19" s="324">
        <v>15</v>
      </c>
      <c r="C19" s="335">
        <f>条件入力!M17</f>
        <v>0</v>
      </c>
      <c r="D19" s="326">
        <f>IF(条件入力!O17&gt;0,VLOOKUP(条件入力!O17,O27:Q38,3),0)</f>
        <v>0</v>
      </c>
      <c r="E19" s="326">
        <f>IF(条件入力!Q17&lt;201,供用日!T41,供用日!U41)</f>
        <v>1</v>
      </c>
      <c r="F19" s="326">
        <f t="shared" si="0"/>
        <v>0</v>
      </c>
      <c r="G19" s="326">
        <f t="shared" si="3"/>
        <v>0</v>
      </c>
      <c r="H19" s="326" t="str">
        <f t="shared" si="1"/>
        <v/>
      </c>
      <c r="I19" s="326">
        <f>IF(条件入力!V17=1,1,0)</f>
        <v>0</v>
      </c>
      <c r="J19" s="326">
        <v>0</v>
      </c>
      <c r="K19" s="326">
        <f>条件入力!D31</f>
        <v>1.5</v>
      </c>
      <c r="L19" s="326">
        <f t="shared" si="2"/>
        <v>0</v>
      </c>
      <c r="O19" s="326">
        <v>450</v>
      </c>
      <c r="P19" s="326">
        <v>7.2</v>
      </c>
      <c r="Q19" s="326">
        <v>10.3</v>
      </c>
      <c r="R19" s="326">
        <v>5.5</v>
      </c>
      <c r="S19" s="326">
        <v>7.2</v>
      </c>
      <c r="T19" s="326">
        <v>3.7</v>
      </c>
      <c r="U19" s="326">
        <v>4.4000000000000004</v>
      </c>
      <c r="V19" s="326">
        <v>0</v>
      </c>
      <c r="W19" s="326">
        <v>0</v>
      </c>
      <c r="X19" s="326">
        <v>3.3</v>
      </c>
      <c r="Y19" s="326">
        <v>3.8</v>
      </c>
      <c r="Z19" s="326">
        <v>2.9</v>
      </c>
      <c r="AA19" s="326">
        <v>3.3</v>
      </c>
      <c r="AB19" s="326">
        <v>0</v>
      </c>
      <c r="AC19" s="326">
        <v>0</v>
      </c>
      <c r="AD19" s="326">
        <v>0</v>
      </c>
      <c r="AE19" s="326">
        <v>0</v>
      </c>
    </row>
    <row r="20" spans="2:31" ht="20.100000000000001" customHeight="1" x14ac:dyDescent="0.15">
      <c r="B20" s="326" t="s">
        <v>184</v>
      </c>
      <c r="C20" s="335">
        <f>SUM(C5:C19)</f>
        <v>100</v>
      </c>
      <c r="D20" s="354"/>
      <c r="E20" s="354"/>
      <c r="F20" s="354"/>
      <c r="G20" s="326">
        <f>SUM(G5:G19)</f>
        <v>14</v>
      </c>
      <c r="H20" s="354"/>
      <c r="I20" s="354"/>
      <c r="J20" s="354"/>
      <c r="L20" s="326">
        <f>SUM(L5:L19)</f>
        <v>24</v>
      </c>
      <c r="O20" s="326">
        <v>500</v>
      </c>
      <c r="P20" s="326">
        <v>7.2</v>
      </c>
      <c r="Q20" s="326">
        <v>10.3</v>
      </c>
      <c r="R20" s="326">
        <v>5.5</v>
      </c>
      <c r="S20" s="326">
        <v>7.2</v>
      </c>
      <c r="T20" s="326">
        <v>3.7</v>
      </c>
      <c r="U20" s="326">
        <v>4.4000000000000004</v>
      </c>
      <c r="V20" s="326">
        <v>0</v>
      </c>
      <c r="W20" s="326">
        <v>0</v>
      </c>
      <c r="X20" s="326">
        <v>3.3</v>
      </c>
      <c r="Y20" s="326">
        <v>3.8</v>
      </c>
      <c r="Z20" s="326">
        <v>2.9</v>
      </c>
      <c r="AA20" s="326">
        <v>3.3</v>
      </c>
      <c r="AB20" s="326">
        <v>0</v>
      </c>
      <c r="AC20" s="326">
        <v>0</v>
      </c>
      <c r="AD20" s="326">
        <v>0</v>
      </c>
      <c r="AE20" s="326">
        <v>0</v>
      </c>
    </row>
    <row r="21" spans="2:31" ht="20.100000000000001" customHeight="1" x14ac:dyDescent="0.15">
      <c r="O21" s="326">
        <v>600</v>
      </c>
      <c r="P21" s="326">
        <v>0</v>
      </c>
      <c r="Q21" s="326">
        <v>8.6999999999999993</v>
      </c>
      <c r="R21" s="326">
        <v>0</v>
      </c>
      <c r="S21" s="326">
        <v>6.9</v>
      </c>
      <c r="T21" s="326">
        <v>0</v>
      </c>
      <c r="U21" s="326">
        <v>4</v>
      </c>
      <c r="V21" s="326">
        <v>0</v>
      </c>
      <c r="W21" s="326">
        <v>4</v>
      </c>
      <c r="X21" s="326">
        <v>0</v>
      </c>
      <c r="Y21" s="326">
        <v>3.7</v>
      </c>
      <c r="Z21" s="326">
        <v>0</v>
      </c>
      <c r="AA21" s="326">
        <v>3.7</v>
      </c>
      <c r="AB21" s="326">
        <v>2.7</v>
      </c>
      <c r="AC21" s="326">
        <v>2</v>
      </c>
      <c r="AD21" s="326">
        <v>1.5</v>
      </c>
      <c r="AE21" s="326">
        <v>1.1000000000000001</v>
      </c>
    </row>
    <row r="22" spans="2:31" ht="20.100000000000001" customHeight="1" x14ac:dyDescent="0.15">
      <c r="B22" s="181" t="s">
        <v>658</v>
      </c>
      <c r="O22" s="326">
        <v>700</v>
      </c>
      <c r="P22" s="326">
        <v>0</v>
      </c>
      <c r="Q22" s="326">
        <v>8.6999999999999993</v>
      </c>
      <c r="R22" s="326">
        <v>0</v>
      </c>
      <c r="S22" s="326">
        <v>6.9</v>
      </c>
      <c r="T22" s="326">
        <v>0</v>
      </c>
      <c r="U22" s="326">
        <v>4</v>
      </c>
      <c r="V22" s="326">
        <v>0</v>
      </c>
      <c r="W22" s="326">
        <v>4</v>
      </c>
      <c r="X22" s="326">
        <v>0</v>
      </c>
      <c r="Y22" s="326">
        <v>3.7</v>
      </c>
      <c r="Z22" s="326">
        <v>0</v>
      </c>
      <c r="AA22" s="326">
        <v>3.7</v>
      </c>
      <c r="AB22" s="326">
        <v>2.7</v>
      </c>
      <c r="AC22" s="326">
        <v>2</v>
      </c>
      <c r="AD22" s="326">
        <v>1.5</v>
      </c>
      <c r="AE22" s="326">
        <v>1.1000000000000001</v>
      </c>
    </row>
    <row r="23" spans="2:31" ht="20.100000000000001" customHeight="1" x14ac:dyDescent="0.15">
      <c r="B23" s="762"/>
      <c r="C23" s="762" t="s">
        <v>185</v>
      </c>
      <c r="D23" s="355" t="s">
        <v>628</v>
      </c>
      <c r="E23" s="459" t="s">
        <v>88</v>
      </c>
      <c r="F23" s="459" t="s">
        <v>629</v>
      </c>
      <c r="G23" s="355" t="s">
        <v>659</v>
      </c>
      <c r="H23" s="459" t="s">
        <v>660</v>
      </c>
      <c r="I23" s="764" t="s">
        <v>630</v>
      </c>
      <c r="J23" s="764" t="s">
        <v>92</v>
      </c>
    </row>
    <row r="24" spans="2:31" ht="20.100000000000001" customHeight="1" x14ac:dyDescent="0.15">
      <c r="B24" s="763"/>
      <c r="C24" s="763"/>
      <c r="D24" s="356" t="s">
        <v>567</v>
      </c>
      <c r="E24" s="460" t="s">
        <v>634</v>
      </c>
      <c r="F24" s="460" t="s">
        <v>635</v>
      </c>
      <c r="G24" s="356" t="s">
        <v>661</v>
      </c>
      <c r="H24" s="460" t="s">
        <v>662</v>
      </c>
      <c r="I24" s="765"/>
      <c r="J24" s="765"/>
    </row>
    <row r="25" spans="2:31" ht="20.100000000000001" customHeight="1" x14ac:dyDescent="0.15">
      <c r="B25" s="324">
        <v>1</v>
      </c>
      <c r="C25" s="324">
        <f>G5</f>
        <v>14</v>
      </c>
      <c r="D25" s="324">
        <f>H5</f>
        <v>2</v>
      </c>
      <c r="E25" s="324">
        <f>I5</f>
        <v>0</v>
      </c>
      <c r="F25" s="324">
        <f>J5</f>
        <v>0</v>
      </c>
      <c r="G25" s="324">
        <v>1</v>
      </c>
      <c r="H25" s="359"/>
      <c r="I25" s="359"/>
      <c r="J25" s="359"/>
      <c r="O25" s="181" t="s">
        <v>663</v>
      </c>
      <c r="S25" s="181" t="s">
        <v>626</v>
      </c>
    </row>
    <row r="26" spans="2:31" ht="20.100000000000001" customHeight="1" x14ac:dyDescent="0.15">
      <c r="B26" s="324">
        <v>2</v>
      </c>
      <c r="C26" s="324">
        <f t="shared" ref="C26:C39" si="4">G6</f>
        <v>0</v>
      </c>
      <c r="D26" s="324" t="str">
        <f t="shared" ref="D26:D39" si="5">H6</f>
        <v/>
      </c>
      <c r="E26" s="324">
        <f t="shared" ref="E26:E39" si="6">I6</f>
        <v>0</v>
      </c>
      <c r="F26" s="324">
        <f t="shared" ref="F26:F39" si="7">J6</f>
        <v>0</v>
      </c>
      <c r="G26" s="324">
        <f>IF(条件入力!S4="",0,IF(条件入力!S4=1,5,4))</f>
        <v>0</v>
      </c>
      <c r="H26" s="359"/>
      <c r="I26" s="359"/>
      <c r="J26" s="359"/>
      <c r="O26" s="324"/>
      <c r="P26" s="324"/>
      <c r="Q26" s="324"/>
      <c r="S26" s="324"/>
      <c r="T26" s="326" t="s">
        <v>641</v>
      </c>
      <c r="U26" s="326" t="s">
        <v>647</v>
      </c>
    </row>
    <row r="27" spans="2:31" ht="20.25" customHeight="1" x14ac:dyDescent="0.15">
      <c r="B27" s="324">
        <v>3</v>
      </c>
      <c r="C27" s="324">
        <f t="shared" si="4"/>
        <v>0</v>
      </c>
      <c r="D27" s="324" t="str">
        <f t="shared" si="5"/>
        <v/>
      </c>
      <c r="E27" s="324">
        <f t="shared" si="6"/>
        <v>0</v>
      </c>
      <c r="F27" s="324">
        <f t="shared" si="7"/>
        <v>0</v>
      </c>
      <c r="G27" s="324">
        <f>IF(条件入力!S5="",0,IF(条件入力!S5=1,5,4))</f>
        <v>0</v>
      </c>
      <c r="H27" s="359"/>
      <c r="I27" s="359"/>
      <c r="J27" s="359"/>
      <c r="O27" s="324">
        <v>1</v>
      </c>
      <c r="P27" s="324" t="s">
        <v>243</v>
      </c>
      <c r="Q27" s="324">
        <f>IF(条件入力!D18=1,VLOOKUP(条件入力!D8,O15:AE22,2),VLOOKUP(条件入力!D8,O15:AE22,3))</f>
        <v>10.3</v>
      </c>
      <c r="S27" s="324">
        <v>1</v>
      </c>
      <c r="T27" s="324">
        <f>IF(条件入力!D8&lt;350,1,IF(条件入力!Q3&lt;71,1,VLOOKUP(条件入力!D8,O5:AA10,IF(条件入力!Q3&lt;106,2,IF(条件入力!Q3&lt;121,3,IF(条件入力!Q3&lt;136,4,IF(条件入力!Q3&lt;151,5,IF(条件入力!Q3&lt;176,6,7))))))))</f>
        <v>1</v>
      </c>
      <c r="U27" s="324">
        <f>IF(条件入力!D8&lt;350,1,IF(条件入力!Q3&lt;71,1,VLOOKUP(条件入力!D8,O5:AA10,IF(条件入力!Q3&lt;226,8,IF(条件入力!Q3&lt;251,9,IF(条件入力!Q3&lt;301,10,IF(条件入力!Q3&lt;351,11,IF(条件入力!Q3&lt;481,12,13))))))))</f>
        <v>1</v>
      </c>
    </row>
    <row r="28" spans="2:31" ht="18.75" customHeight="1" x14ac:dyDescent="0.15">
      <c r="B28" s="324">
        <v>4</v>
      </c>
      <c r="C28" s="324">
        <f t="shared" si="4"/>
        <v>0</v>
      </c>
      <c r="D28" s="324" t="str">
        <f t="shared" si="5"/>
        <v/>
      </c>
      <c r="E28" s="324">
        <f t="shared" si="6"/>
        <v>0</v>
      </c>
      <c r="F28" s="324">
        <f t="shared" si="7"/>
        <v>0</v>
      </c>
      <c r="G28" s="324">
        <f>IF(条件入力!S6="",0,IF(条件入力!S6=1,5,4))</f>
        <v>0</v>
      </c>
      <c r="H28" s="359"/>
      <c r="I28" s="359"/>
      <c r="J28" s="359"/>
      <c r="O28" s="324">
        <v>2</v>
      </c>
      <c r="P28" s="324" t="s">
        <v>244</v>
      </c>
      <c r="Q28" s="324">
        <f>IF(条件入力!D18=1,VLOOKUP(条件入力!D8,O15:AE22,4),VLOOKUP(条件入力!D8,O15:AE22,5))</f>
        <v>7.2</v>
      </c>
      <c r="S28" s="324">
        <v>2</v>
      </c>
      <c r="T28" s="324">
        <f>IF(条件入力!D8&lt;350,1,IF(条件入力!Q4&lt;71,1,VLOOKUP(条件入力!D8,O5:AA10,IF(条件入力!Q4&lt;106,2,IF(条件入力!Q4&lt;121,3,IF(条件入力!Q4&lt;136,4,IF(条件入力!Q4&lt;151,5,IF(条件入力!Q4&lt;176,6,7))))))))</f>
        <v>1</v>
      </c>
      <c r="U28" s="324">
        <f>IF(条件入力!D8&lt;350,1,IF(条件入力!Q4&lt;81,1,VLOOKUP(条件入力!D8,O5:AA10,IF(条件入力!Q4&lt;226,8,IF(条件入力!Q4&lt;251,9,IF(条件入力!Q4&lt;301,10,IF(条件入力!Q4&lt;351,11,IF(条件入力!Q4&lt;481,12,13))))))))</f>
        <v>1</v>
      </c>
    </row>
    <row r="29" spans="2:31" ht="20.100000000000001" customHeight="1" x14ac:dyDescent="0.15">
      <c r="B29" s="324">
        <v>5</v>
      </c>
      <c r="C29" s="324">
        <f t="shared" si="4"/>
        <v>0</v>
      </c>
      <c r="D29" s="324" t="str">
        <f t="shared" si="5"/>
        <v/>
      </c>
      <c r="E29" s="324">
        <f t="shared" si="6"/>
        <v>0</v>
      </c>
      <c r="F29" s="324">
        <f t="shared" si="7"/>
        <v>0</v>
      </c>
      <c r="G29" s="324">
        <f>IF(条件入力!S7="",0,IF(条件入力!S7=1,5,4))</f>
        <v>0</v>
      </c>
      <c r="H29" s="359"/>
      <c r="I29" s="359"/>
      <c r="J29" s="359"/>
      <c r="O29" s="324">
        <v>3</v>
      </c>
      <c r="P29" s="324" t="s">
        <v>245</v>
      </c>
      <c r="Q29" s="324">
        <f>IF(条件入力!D18=1,VLOOKUP(条件入力!D8,O15:AE22,6),VLOOKUP(条件入力!D8,O15:AE22,7))</f>
        <v>4.4000000000000004</v>
      </c>
      <c r="S29" s="324">
        <v>3</v>
      </c>
      <c r="T29" s="324">
        <f>IF(条件入力!D8&lt;350,1,IF(条件入力!Q5&lt;71,1,VLOOKUP(条件入力!D8,O5:AA10,IF(条件入力!Q5&lt;106,2,IF(条件入力!Q5&lt;121,3,IF(条件入力!Q5&lt;136,4,IF(条件入力!Q5&lt;151,5,IF(条件入力!Q5&lt;176,6,7))))))))</f>
        <v>1</v>
      </c>
      <c r="U29" s="324">
        <f>IF(条件入力!D8&lt;350,1,IF(条件入力!Q5&lt;81,1,VLOOKUP(条件入力!D8,O5:AA10,IF(条件入力!Q5&lt;226,8,IF(条件入力!Q5&lt;251,9,IF(条件入力!Q5&lt;301,10,IF(条件入力!Q5&lt;351,11,IF(条件入力!Q5&lt;481,12,13))))))))</f>
        <v>1</v>
      </c>
    </row>
    <row r="30" spans="2:31" ht="20.100000000000001" customHeight="1" x14ac:dyDescent="0.15">
      <c r="B30" s="324">
        <v>6</v>
      </c>
      <c r="C30" s="324">
        <f t="shared" si="4"/>
        <v>0</v>
      </c>
      <c r="D30" s="324" t="str">
        <f t="shared" si="5"/>
        <v/>
      </c>
      <c r="E30" s="324">
        <f t="shared" si="6"/>
        <v>0</v>
      </c>
      <c r="F30" s="324">
        <f t="shared" si="7"/>
        <v>0</v>
      </c>
      <c r="G30" s="324">
        <f>IF(条件入力!S8="",0,IF(条件入力!S8=1,5,4))</f>
        <v>0</v>
      </c>
      <c r="H30" s="359"/>
      <c r="I30" s="359"/>
      <c r="J30" s="359"/>
      <c r="O30" s="324">
        <v>4</v>
      </c>
      <c r="P30" s="324" t="s">
        <v>100</v>
      </c>
      <c r="Q30" s="324">
        <f>IF(条件入力!D18=1,VLOOKUP(条件入力!D8,O15:AE22,6),VLOOKUP(条件入力!D8,O15:AE22,7))</f>
        <v>4.4000000000000004</v>
      </c>
      <c r="S30" s="324">
        <v>4</v>
      </c>
      <c r="T30" s="324">
        <f>IF(条件入力!D8&lt;350,1,IF(条件入力!Q6&lt;71,1,VLOOKUP(条件入力!D8,O5:AA12,IF(条件入力!Q6&lt;106,2,IF(条件入力!Q6&lt;121,3,IF(条件入力!Q6&lt;136,4,IF(条件入力!Q6&lt;151,5,IF(条件入力!Q6&lt;176,6,7))))))))</f>
        <v>1</v>
      </c>
      <c r="U30" s="324">
        <f>IF(条件入力!D8&lt;350,1,IF(条件入力!Q6&lt;81,1,VLOOKUP(条件入力!D8,O5:AA10,IF(条件入力!Q6&lt;226,8,IF(条件入力!Q6&lt;251,9,IF(条件入力!Q6&lt;301,10,IF(条件入力!Q6&lt;351,11,IF(条件入力!Q6&lt;481,12,13))))))))</f>
        <v>1</v>
      </c>
      <c r="W30" s="181" t="s">
        <v>664</v>
      </c>
    </row>
    <row r="31" spans="2:31" ht="20.100000000000001" customHeight="1" x14ac:dyDescent="0.15">
      <c r="B31" s="324">
        <v>7</v>
      </c>
      <c r="C31" s="324">
        <f t="shared" si="4"/>
        <v>0</v>
      </c>
      <c r="D31" s="324" t="str">
        <f t="shared" si="5"/>
        <v/>
      </c>
      <c r="E31" s="324">
        <f t="shared" si="6"/>
        <v>0</v>
      </c>
      <c r="F31" s="324">
        <f t="shared" si="7"/>
        <v>0</v>
      </c>
      <c r="G31" s="324">
        <f>IF(条件入力!S9="",0,IF(条件入力!S9=1,5,4))</f>
        <v>0</v>
      </c>
      <c r="H31" s="359"/>
      <c r="I31" s="359"/>
      <c r="J31" s="359"/>
      <c r="O31" s="324">
        <v>5</v>
      </c>
      <c r="P31" s="324" t="s">
        <v>614</v>
      </c>
      <c r="Q31" s="324">
        <f>IF(条件入力!D18=1,VLOOKUP(条件入力!D8,O2:AE15,8),VLOOKUP(条件入力!D8,O15:AE22,9))</f>
        <v>0</v>
      </c>
      <c r="S31" s="324">
        <v>5</v>
      </c>
      <c r="T31" s="324">
        <f>IF(条件入力!D8&lt;350,1,IF(条件入力!Q7&lt;71,1,VLOOKUP(条件入力!D8,O5:AA10,IF(条件入力!Q7&lt;106,2,IF(条件入力!Q7&lt;121,3,IF(条件入力!Q7&lt;136,4,IF(条件入力!Q7&lt;151,5,IF(条件入力!Q7&lt;176,6,7))))))))</f>
        <v>1</v>
      </c>
      <c r="U31" s="324">
        <f>IF(条件入力!D8&lt;350,1,IF(条件入力!Q7&lt;81,1,VLOOKUP(条件入力!D8,O5:AA10,IF(条件入力!Q7&lt;226,8,IF(条件入力!Q7&lt;251,9,IF(条件入力!Q7&lt;301,10,IF(条件入力!Q7&lt;351,11,IF(条件入力!Q7&lt;481,12,13))))))))</f>
        <v>1</v>
      </c>
    </row>
    <row r="32" spans="2:31" ht="20.100000000000001" customHeight="1" x14ac:dyDescent="0.15">
      <c r="B32" s="324">
        <v>8</v>
      </c>
      <c r="C32" s="324">
        <f t="shared" si="4"/>
        <v>0</v>
      </c>
      <c r="D32" s="324" t="str">
        <f t="shared" si="5"/>
        <v/>
      </c>
      <c r="E32" s="324">
        <f t="shared" si="6"/>
        <v>0</v>
      </c>
      <c r="F32" s="324">
        <f t="shared" si="7"/>
        <v>0</v>
      </c>
      <c r="G32" s="324">
        <f>IF(条件入力!S10="",0,IF(条件入力!S10=1,5,4))</f>
        <v>0</v>
      </c>
      <c r="H32" s="359"/>
      <c r="I32" s="359"/>
      <c r="J32" s="359"/>
      <c r="O32" s="324">
        <v>6</v>
      </c>
      <c r="P32" s="324" t="s">
        <v>110</v>
      </c>
      <c r="Q32" s="324">
        <f>IF(条件入力!D18=1,VLOOKUP(条件入力!D8,O15:AE22,10),VLOOKUP(条件入力!D8,O15:AE22,11))</f>
        <v>3.8</v>
      </c>
      <c r="S32" s="324">
        <v>6</v>
      </c>
      <c r="T32" s="324">
        <f>IF(条件入力!D8&lt;350,1,IF(条件入力!Q8&lt;71,1,VLOOKUP(条件入力!D8,O5:AA10,IF(条件入力!Q8&lt;106,2,IF(条件入力!Q8&lt;121,3,IF(条件入力!Q8&lt;136,4,IF(条件入力!Q8&lt;151,5,IF(条件入力!Q8&lt;176,6,7))))))))</f>
        <v>1</v>
      </c>
      <c r="U32" s="324">
        <f>IF(条件入力!D8&lt;350,1,IF(条件入力!Q8&lt;81,1,VLOOKUP(条件入力!D8,O5:AA10,IF(条件入力!Q8&lt;226,8,IF(条件入力!Q8&lt;251,9,IF(条件入力!Q8&lt;301,10,IF(条件入力!Q8&lt;351,11,IF(条件入力!Q8&lt;481,12,13))))))))</f>
        <v>1</v>
      </c>
    </row>
    <row r="33" spans="2:21" ht="20.100000000000001" customHeight="1" x14ac:dyDescent="0.15">
      <c r="B33" s="324">
        <v>9</v>
      </c>
      <c r="C33" s="324">
        <f t="shared" si="4"/>
        <v>0</v>
      </c>
      <c r="D33" s="324" t="str">
        <f t="shared" si="5"/>
        <v/>
      </c>
      <c r="E33" s="324">
        <f t="shared" si="6"/>
        <v>0</v>
      </c>
      <c r="F33" s="324">
        <f t="shared" si="7"/>
        <v>0</v>
      </c>
      <c r="G33" s="324">
        <f>IF(条件入力!S11="",0,IF(条件入力!S11=1,5,4))</f>
        <v>0</v>
      </c>
      <c r="H33" s="359"/>
      <c r="I33" s="359"/>
      <c r="J33" s="359"/>
      <c r="O33" s="324">
        <v>7</v>
      </c>
      <c r="P33" s="324" t="s">
        <v>114</v>
      </c>
      <c r="Q33" s="324">
        <f>IF(条件入力!D18=1,VLOOKUP(条件入力!D8,O15:AE22,10),VLOOKUP(条件入力!D8,O15:AE22,11))</f>
        <v>3.8</v>
      </c>
      <c r="S33" s="324">
        <v>7</v>
      </c>
      <c r="T33" s="324">
        <f>IF(条件入力!D8&lt;350,1,IF(条件入力!Q9&lt;71,1,VLOOKUP(条件入力!D8,O5:AA10,IF(条件入力!Q9&lt;106,2,IF(条件入力!Q9&lt;121,3,IF(条件入力!Q9&lt;136,4,IF(条件入力!Q9&lt;151,5,IF(条件入力!Q9&lt;176,6,7))))))))</f>
        <v>1</v>
      </c>
      <c r="U33" s="324">
        <f>IF(条件入力!D8&lt;350,1,IF(条件入力!Q9&lt;81,1,VLOOKUP(条件入力!D8,O5:AA10,IF(条件入力!Q9&lt;226,8,IF(条件入力!Q9&lt;251,9,IF(条件入力!Q9&lt;301,10,IF(条件入力!Q9&lt;351,11,IF(条件入力!Q9&lt;481,12,13))))))))</f>
        <v>1</v>
      </c>
    </row>
    <row r="34" spans="2:21" ht="20.100000000000001" customHeight="1" x14ac:dyDescent="0.15">
      <c r="B34" s="324">
        <v>10</v>
      </c>
      <c r="C34" s="324">
        <f t="shared" si="4"/>
        <v>0</v>
      </c>
      <c r="D34" s="324" t="str">
        <f t="shared" si="5"/>
        <v/>
      </c>
      <c r="E34" s="324">
        <f t="shared" si="6"/>
        <v>0</v>
      </c>
      <c r="F34" s="324">
        <f t="shared" si="7"/>
        <v>0</v>
      </c>
      <c r="G34" s="324">
        <f>IF(条件入力!S12="",0,IF(条件入力!S12=1,5,4))</f>
        <v>0</v>
      </c>
      <c r="H34" s="359"/>
      <c r="I34" s="359"/>
      <c r="J34" s="359"/>
      <c r="O34" s="324">
        <v>8</v>
      </c>
      <c r="P34" s="324" t="s">
        <v>122</v>
      </c>
      <c r="Q34" s="324">
        <f>IF(条件入力!D18=1,0,VLOOKUP(条件入力!D8,O15:AE22,13))</f>
        <v>3.3</v>
      </c>
      <c r="S34" s="324">
        <v>8</v>
      </c>
      <c r="T34" s="324">
        <f>IF(条件入力!D8&lt;350,1,IF(条件入力!Q10&lt;71,1,VLOOKUP(条件入力!D8,O5:AA10,IF(条件入力!Q10&lt;106,2,IF(条件入力!Q10&lt;121,3,IF(条件入力!Q10&lt;136,4,IF(条件入力!Q10&lt;151,5,IF(条件入力!Q10&lt;176,6,7))))))))</f>
        <v>1</v>
      </c>
      <c r="U34" s="324">
        <f>IF(条件入力!D8&lt;350,1,IF(条件入力!Q10&lt;81,1,VLOOKUP(条件入力!D8,O5:AA10,IF(条件入力!Q10&lt;226,8,IF(条件入力!Q10&lt;251,9,IF(条件入力!Q10&lt;301,10,IF(条件入力!Q10&lt;351,11,IF(条件入力!Q10&lt;481,12,13))))))))</f>
        <v>1</v>
      </c>
    </row>
    <row r="35" spans="2:21" ht="20.100000000000001" customHeight="1" x14ac:dyDescent="0.15">
      <c r="B35" s="324">
        <v>11</v>
      </c>
      <c r="C35" s="324">
        <f t="shared" si="4"/>
        <v>0</v>
      </c>
      <c r="D35" s="324" t="str">
        <f t="shared" si="5"/>
        <v/>
      </c>
      <c r="E35" s="324">
        <f t="shared" si="6"/>
        <v>0</v>
      </c>
      <c r="F35" s="324">
        <f t="shared" si="7"/>
        <v>0</v>
      </c>
      <c r="G35" s="324">
        <f>IF(条件入力!S13="",0,IF(条件入力!S13=1,5,4))</f>
        <v>0</v>
      </c>
      <c r="H35" s="359"/>
      <c r="I35" s="359"/>
      <c r="J35" s="359"/>
      <c r="O35" s="324">
        <v>9</v>
      </c>
      <c r="P35" s="324" t="s">
        <v>128</v>
      </c>
      <c r="Q35" s="324">
        <f>IF(条件入力!D18=1,0,VLOOKUP(条件入力!D8,O15:AE22,14))</f>
        <v>0</v>
      </c>
      <c r="S35" s="324">
        <v>9</v>
      </c>
      <c r="T35" s="324">
        <f>IF(条件入力!D8&lt;350,1,IF(条件入力!Q11&lt;71,1,VLOOKUP(条件入力!D8,O5:AA10,IF(条件入力!Q11&lt;106,2,IF(条件入力!Q11&lt;121,3,IF(条件入力!Q11&lt;136,4,IF(条件入力!Q11&lt;151,5,IF(条件入力!Q11&lt;176,6,7))))))))</f>
        <v>1</v>
      </c>
      <c r="U35" s="324">
        <f>IF(条件入力!D8&lt;350,1,IF(条件入力!Q11&lt;81,1,VLOOKUP(条件入力!D8,O5:AA10,IF(条件入力!Q11&lt;226,8,IF(条件入力!Q11&lt;251,9,IF(条件入力!Q11&lt;301,10,IF(条件入力!Q11&lt;351,11,IF(条件入力!Q11&lt;481,12,13))))))))</f>
        <v>1</v>
      </c>
    </row>
    <row r="36" spans="2:21" ht="20.100000000000001" customHeight="1" x14ac:dyDescent="0.15">
      <c r="B36" s="324">
        <v>12</v>
      </c>
      <c r="C36" s="324">
        <f t="shared" si="4"/>
        <v>0</v>
      </c>
      <c r="D36" s="324" t="str">
        <f t="shared" si="5"/>
        <v/>
      </c>
      <c r="E36" s="324">
        <f t="shared" si="6"/>
        <v>0</v>
      </c>
      <c r="F36" s="324">
        <f t="shared" si="7"/>
        <v>0</v>
      </c>
      <c r="G36" s="324">
        <f>IF(条件入力!S14="",0,IF(条件入力!S14=1,5,4))</f>
        <v>0</v>
      </c>
      <c r="H36" s="359"/>
      <c r="I36" s="359"/>
      <c r="J36" s="359"/>
      <c r="O36" s="324">
        <v>10</v>
      </c>
      <c r="P36" s="324" t="s">
        <v>134</v>
      </c>
      <c r="Q36" s="324">
        <f>IF(条件入力!D18=1,0,VLOOKUP(条件入力!D8,O15:AE22,15))</f>
        <v>0</v>
      </c>
      <c r="S36" s="324">
        <v>10</v>
      </c>
      <c r="T36" s="324">
        <f>IF(条件入力!D8&lt;350,1,IF(条件入力!Q12&lt;71,1,VLOOKUP(条件入力!D8,O5:AA10,IF(条件入力!Q12&lt;106,2,IF(条件入力!Q12&lt;121,3,IF(条件入力!Q12&lt;136,4,IF(条件入力!Q12&lt;151,5,IF(条件入力!Q12&lt;176,6,7))))))))</f>
        <v>1</v>
      </c>
      <c r="U36" s="324">
        <f>IF(条件入力!D8&lt;350,1,IF(条件入力!Q12&lt;81,1,VLOOKUP(条件入力!D8,O5:AA10,IF(条件入力!Q12&lt;226,8,IF(条件入力!Q12&lt;251,9,IF(条件入力!Q12&lt;301,10,IF(条件入力!Q12&lt;351,11,IF(条件入力!Q12&lt;481,12,13))))))))</f>
        <v>1</v>
      </c>
    </row>
    <row r="37" spans="2:21" ht="20.100000000000001" customHeight="1" x14ac:dyDescent="0.15">
      <c r="B37" s="324">
        <v>13</v>
      </c>
      <c r="C37" s="324">
        <f t="shared" si="4"/>
        <v>0</v>
      </c>
      <c r="D37" s="324" t="str">
        <f t="shared" si="5"/>
        <v/>
      </c>
      <c r="E37" s="324">
        <f t="shared" si="6"/>
        <v>0</v>
      </c>
      <c r="F37" s="324">
        <f t="shared" si="7"/>
        <v>0</v>
      </c>
      <c r="G37" s="324">
        <f>IF(条件入力!S15="",0,IF(条件入力!S15=1,5,4))</f>
        <v>0</v>
      </c>
      <c r="H37" s="359"/>
      <c r="I37" s="359"/>
      <c r="J37" s="359"/>
      <c r="O37" s="324">
        <v>11</v>
      </c>
      <c r="P37" s="324" t="s">
        <v>140</v>
      </c>
      <c r="Q37" s="324">
        <f>IF(条件入力!D18=1,0,VLOOKUP(条件入力!D8,O15:AE22,16))</f>
        <v>0</v>
      </c>
      <c r="S37" s="324">
        <v>11</v>
      </c>
      <c r="T37" s="324">
        <f>IF(条件入力!D8&lt;350,1,IF(条件入力!Q13&lt;71,1,VLOOKUP(条件入力!D8,O5:AA10,IF(条件入力!Q13&lt;106,2,IF(条件入力!Q13&lt;121,3,IF(条件入力!Q13&lt;136,4,IF(条件入力!Q13&lt;151,5,IF(条件入力!Q13&lt;176,6,7))))))))</f>
        <v>1</v>
      </c>
      <c r="U37" s="324">
        <f>IF(条件入力!D8&lt;350,1,IF(条件入力!Q13&lt;81,1,VLOOKUP(条件入力!D8,O5:AA10,IF(条件入力!Q13&lt;226,8,IF(条件入力!Q13&lt;251,9,IF(条件入力!Q13&lt;301,10,IF(条件入力!Q13&lt;351,11,IF(条件入力!Q13&lt;481,12,13))))))))</f>
        <v>1</v>
      </c>
    </row>
    <row r="38" spans="2:21" ht="20.100000000000001" customHeight="1" x14ac:dyDescent="0.15">
      <c r="B38" s="324">
        <v>14</v>
      </c>
      <c r="C38" s="324">
        <f t="shared" si="4"/>
        <v>0</v>
      </c>
      <c r="D38" s="324" t="str">
        <f t="shared" si="5"/>
        <v/>
      </c>
      <c r="E38" s="324">
        <f t="shared" si="6"/>
        <v>0</v>
      </c>
      <c r="F38" s="324">
        <f t="shared" si="7"/>
        <v>0</v>
      </c>
      <c r="G38" s="324">
        <f>IF(条件入力!S16="",0,IF(条件入力!S16=1,5,4))</f>
        <v>0</v>
      </c>
      <c r="H38" s="359"/>
      <c r="I38" s="359"/>
      <c r="J38" s="359"/>
      <c r="O38" s="324">
        <v>12</v>
      </c>
      <c r="P38" s="324" t="s">
        <v>149</v>
      </c>
      <c r="Q38" s="324">
        <f>IF(条件入力!D18=1,0,VLOOKUP(条件入力!D8,O15:AE22,17))</f>
        <v>0</v>
      </c>
      <c r="S38" s="324">
        <v>12</v>
      </c>
      <c r="T38" s="324">
        <f>IF(条件入力!D8&lt;350,1,IF(条件入力!Q14&lt;71,1,VLOOKUP(条件入力!D8,O5:AA10,IF(条件入力!Q14&lt;106,2,IF(条件入力!Q14&lt;121,3,IF(条件入力!Q14&lt;136,4,IF(条件入力!Q14&lt;151,5,IF(条件入力!Q14&lt;176,6,7))))))))</f>
        <v>1</v>
      </c>
      <c r="U38" s="324">
        <f>IF(条件入力!D8&lt;350,1,IF(条件入力!Q14&lt;81,1,VLOOKUP(条件入力!D8,O5:AA10,IF(条件入力!Q14&lt;226,8,IF(条件入力!Q14&lt;251,9,IF(条件入力!Q14&lt;301,10,IF(条件入力!Q14&lt;351,11,IF(条件入力!Q14&lt;481,12,13))))))))</f>
        <v>1</v>
      </c>
    </row>
    <row r="39" spans="2:21" ht="20.100000000000001" customHeight="1" x14ac:dyDescent="0.15">
      <c r="B39" s="329">
        <v>15</v>
      </c>
      <c r="C39" s="329">
        <f t="shared" si="4"/>
        <v>0</v>
      </c>
      <c r="D39" s="329" t="str">
        <f t="shared" si="5"/>
        <v/>
      </c>
      <c r="E39" s="329">
        <f t="shared" si="6"/>
        <v>0</v>
      </c>
      <c r="F39" s="329">
        <f t="shared" si="7"/>
        <v>0</v>
      </c>
      <c r="G39" s="324">
        <f>IF(条件入力!S17="",0,IF(条件入力!S17=1,5,4))</f>
        <v>0</v>
      </c>
      <c r="H39" s="359"/>
      <c r="I39" s="359"/>
      <c r="J39" s="359"/>
      <c r="S39" s="324">
        <v>13</v>
      </c>
      <c r="T39" s="324">
        <f>IF(条件入力!D8&lt;350,1,IF(条件入力!Q15&lt;71,1,VLOOKUP(条件入力!D8,O5:AA10,IF(条件入力!Q15&lt;106,2,IF(条件入力!Q15&lt;121,3,IF(条件入力!Q15&lt;136,4,IF(条件入力!Q15&lt;151,5,IF(条件入力!Q15&lt;176,6,7))))))))</f>
        <v>1</v>
      </c>
      <c r="U39" s="324">
        <f>IF(条件入力!D8&lt;350,1,IF(条件入力!Q15&lt;81,1,VLOOKUP(条件入力!D8,O5:AA10,IF(条件入力!Q15&lt;226,8,IF(条件入力!Q15&lt;251,9,IF(条件入力!Q15&lt;301,10,IF(条件入力!Q15&lt;351,11,IF(条件入力!Q15&lt;481,12,13))))))))</f>
        <v>1</v>
      </c>
    </row>
    <row r="40" spans="2:21" ht="20.100000000000001" customHeight="1" x14ac:dyDescent="0.15">
      <c r="B40" s="326" t="s">
        <v>266</v>
      </c>
      <c r="C40" s="324">
        <f>SUM(C25:C39)</f>
        <v>14</v>
      </c>
      <c r="D40" s="324">
        <f>SUM(D25:D39)</f>
        <v>2</v>
      </c>
      <c r="E40" s="324">
        <f>SUM(E25:E39)</f>
        <v>0</v>
      </c>
      <c r="F40" s="324">
        <f>SUM(F25:F39)</f>
        <v>0</v>
      </c>
      <c r="G40" s="324">
        <f>SUM(G25:G39)</f>
        <v>1</v>
      </c>
      <c r="H40" s="324">
        <v>1</v>
      </c>
      <c r="I40" s="324">
        <f>K5</f>
        <v>1.5</v>
      </c>
      <c r="J40" s="324">
        <f>ROUND((C40+D40+E40+F40+G40+H40)*I40,0)</f>
        <v>27</v>
      </c>
      <c r="S40" s="324">
        <v>14</v>
      </c>
      <c r="T40" s="324">
        <f>IF(条件入力!D8&lt;350,1,IF(条件入力!Q16&lt;71,1,VLOOKUP(条件入力!D8,O5:AA10,IF(条件入力!Q16&lt;106,2,IF(条件入力!Q16&lt;121,3,IF(条件入力!Q16&lt;136,4,IF(条件入力!Q16&lt;151,5,IF(条件入力!Q16&lt;176,6,7))))))))</f>
        <v>1</v>
      </c>
      <c r="U40" s="324">
        <f>IF(条件入力!D8&lt;350,1,IF(条件入力!Q16&lt;81,1,VLOOKUP(条件入力!D8,O5:AA10,IF(条件入力!Q16&lt;226,8,IF(条件入力!Q16&lt;251,9,IF(条件入力!Q16&lt;301,10,IF(条件入力!Q16&lt;351,11,IF(条件入力!Q16&lt;481,12,13))))))))</f>
        <v>1</v>
      </c>
    </row>
    <row r="41" spans="2:21" ht="20.100000000000001" customHeight="1" x14ac:dyDescent="0.15">
      <c r="S41" s="324">
        <v>15</v>
      </c>
      <c r="T41" s="324">
        <f>IF(条件入力!D8&lt;350,1,IF(条件入力!Q17&lt;71,1,VLOOKUP(条件入力!D8,O5:AA10,IF(条件入力!Q17&lt;106,2,IF(条件入力!Q17&lt;121,3,IF(条件入力!Q17&lt;136,4,IF(条件入力!Q17&lt;151,5,IF(条件入力!Q17&lt;176,6,7))))))))</f>
        <v>1</v>
      </c>
      <c r="U41" s="324">
        <f>IF(条件入力!D8&lt;350,1,IF(条件入力!Q17&lt;81,1,VLOOKUP(条件入力!D8,O5:AA10,IF(条件入力!Q17&lt;226,8,IF(条件入力!Q17&lt;251,9,IF(条件入力!Q17&lt;301,10,IF(条件入力!Q17&lt;351,11,IF(条件入力!Q17&lt;481,12,13))))))))</f>
        <v>1</v>
      </c>
    </row>
    <row r="42" spans="2:21" ht="20.100000000000001" customHeight="1" x14ac:dyDescent="0.15"/>
    <row r="43" spans="2:21" ht="20.100000000000001" customHeight="1" x14ac:dyDescent="0.15"/>
    <row r="44" spans="2:21" ht="20.100000000000001" customHeight="1" x14ac:dyDescent="0.15"/>
  </sheetData>
  <mergeCells count="15">
    <mergeCell ref="C23:C24"/>
    <mergeCell ref="I23:I24"/>
    <mergeCell ref="J23:J24"/>
    <mergeCell ref="B23:B24"/>
    <mergeCell ref="L3:L4"/>
    <mergeCell ref="K3:K4"/>
    <mergeCell ref="G3:G4"/>
    <mergeCell ref="D3:D4"/>
    <mergeCell ref="B3:B4"/>
    <mergeCell ref="Z13:AA13"/>
    <mergeCell ref="V13:W13"/>
    <mergeCell ref="P13:Q13"/>
    <mergeCell ref="R13:S13"/>
    <mergeCell ref="T13:U13"/>
    <mergeCell ref="X13:Y13"/>
  </mergeCells>
  <phoneticPr fontId="2"/>
  <pageMargins left="0.78740157480314965" right="0.78740157480314965" top="0.78740157480314965" bottom="0.78740157480314965"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6E223-EB0C-4B72-B828-AB8EB5D616F6}">
  <sheetPr codeName="Sheet6"/>
  <dimension ref="B1:AC88"/>
  <sheetViews>
    <sheetView zoomScale="85" zoomScaleNormal="85" workbookViewId="0">
      <selection activeCell="R16" sqref="R16"/>
    </sheetView>
  </sheetViews>
  <sheetFormatPr defaultColWidth="9" defaultRowHeight="13.5" x14ac:dyDescent="0.15"/>
  <cols>
    <col min="1" max="1" width="4.75" style="181" customWidth="1"/>
    <col min="2" max="2" width="3.75" style="181" customWidth="1"/>
    <col min="3" max="17" width="10.75" style="181" customWidth="1"/>
    <col min="18" max="18" width="9.875" style="181" bestFit="1" customWidth="1"/>
    <col min="19" max="20" width="9.125" style="181" bestFit="1" customWidth="1"/>
    <col min="21" max="21" width="9.875" style="181" bestFit="1" customWidth="1"/>
    <col min="22" max="23" width="9.125" style="181" bestFit="1" customWidth="1"/>
    <col min="24" max="24" width="9.125" style="181" customWidth="1"/>
    <col min="25" max="26" width="9.125" style="181" bestFit="1" customWidth="1"/>
    <col min="27" max="27" width="9.25" style="181" bestFit="1" customWidth="1"/>
    <col min="28" max="16384" width="9" style="181"/>
  </cols>
  <sheetData>
    <row r="1" spans="2:24" customFormat="1" x14ac:dyDescent="0.15"/>
    <row r="2" spans="2:24" customFormat="1" x14ac:dyDescent="0.15"/>
    <row r="3" spans="2:24" customFormat="1" x14ac:dyDescent="0.15">
      <c r="B3" t="s">
        <v>665</v>
      </c>
      <c r="P3" t="s">
        <v>1393</v>
      </c>
      <c r="V3" s="181"/>
      <c r="W3" s="181"/>
      <c r="X3" s="181"/>
    </row>
    <row r="4" spans="2:24" customFormat="1" ht="13.5" customHeight="1" x14ac:dyDescent="0.15">
      <c r="B4" s="383"/>
      <c r="C4" s="769" t="s">
        <v>666</v>
      </c>
      <c r="D4" s="770"/>
      <c r="E4" s="771"/>
      <c r="F4" s="769" t="s">
        <v>667</v>
      </c>
      <c r="G4" s="770"/>
      <c r="H4" s="771"/>
      <c r="I4" s="769" t="s">
        <v>668</v>
      </c>
      <c r="J4" s="770"/>
      <c r="K4" s="771"/>
      <c r="L4" s="761" t="s">
        <v>1396</v>
      </c>
      <c r="M4" s="772"/>
      <c r="N4" s="772"/>
      <c r="O4" s="354"/>
      <c r="P4" s="383"/>
      <c r="Q4" s="773" t="s">
        <v>243</v>
      </c>
      <c r="R4" s="773" t="s">
        <v>1394</v>
      </c>
      <c r="S4" s="773" t="s">
        <v>1395</v>
      </c>
      <c r="T4" s="774" t="s">
        <v>1397</v>
      </c>
      <c r="U4" s="475"/>
      <c r="V4" s="181"/>
      <c r="W4" s="181"/>
      <c r="X4" s="181"/>
    </row>
    <row r="5" spans="2:24" customFormat="1" x14ac:dyDescent="0.15">
      <c r="B5" s="383"/>
      <c r="C5" s="384" t="s">
        <v>669</v>
      </c>
      <c r="D5" s="385" t="s">
        <v>670</v>
      </c>
      <c r="E5" s="384" t="s">
        <v>93</v>
      </c>
      <c r="F5" s="384" t="s">
        <v>669</v>
      </c>
      <c r="G5" s="385" t="s">
        <v>670</v>
      </c>
      <c r="H5" s="384" t="s">
        <v>93</v>
      </c>
      <c r="I5" s="384" t="s">
        <v>669</v>
      </c>
      <c r="J5" s="385" t="s">
        <v>670</v>
      </c>
      <c r="K5" s="384" t="s">
        <v>93</v>
      </c>
      <c r="L5" s="326" t="s">
        <v>669</v>
      </c>
      <c r="M5" s="473" t="s">
        <v>670</v>
      </c>
      <c r="N5" s="326" t="s">
        <v>93</v>
      </c>
      <c r="O5" s="354"/>
      <c r="P5" s="383"/>
      <c r="Q5" s="773"/>
      <c r="R5" s="773"/>
      <c r="S5" s="773"/>
      <c r="T5" s="775"/>
      <c r="U5" s="475"/>
      <c r="V5" s="181"/>
      <c r="W5" s="181"/>
      <c r="X5" s="181"/>
    </row>
    <row r="6" spans="2:24" customFormat="1" x14ac:dyDescent="0.15">
      <c r="B6" s="383">
        <v>250</v>
      </c>
      <c r="C6" s="387">
        <v>35400000</v>
      </c>
      <c r="D6" s="387">
        <v>3492</v>
      </c>
      <c r="E6" s="388">
        <f t="shared" ref="E6:E13" si="0">ROUND(C6*D6/1000000,0)</f>
        <v>123617</v>
      </c>
      <c r="F6" s="386">
        <v>35400000</v>
      </c>
      <c r="G6" s="387">
        <v>3492</v>
      </c>
      <c r="H6" s="388">
        <f t="shared" ref="H6:H13" si="1">ROUND(F6*G6/1000000,0)</f>
        <v>123617</v>
      </c>
      <c r="I6" s="386">
        <v>36400000</v>
      </c>
      <c r="J6" s="387">
        <v>3492</v>
      </c>
      <c r="K6" s="388">
        <f t="shared" ref="K6:K13" si="2">ROUND(I6*J6/1000000,0)</f>
        <v>127109</v>
      </c>
      <c r="L6" s="474"/>
      <c r="M6" s="474">
        <v>3492</v>
      </c>
      <c r="N6" s="336">
        <f t="shared" ref="N6:N13" si="3">ROUND(L6*M6/1000000,0)</f>
        <v>0</v>
      </c>
      <c r="O6" s="345"/>
      <c r="P6" s="384">
        <v>250</v>
      </c>
      <c r="Q6" s="388">
        <v>1770000</v>
      </c>
      <c r="R6" s="388">
        <v>1770000</v>
      </c>
      <c r="S6" s="388">
        <v>1820000</v>
      </c>
      <c r="T6" s="383"/>
      <c r="V6" s="181"/>
      <c r="W6" s="181"/>
      <c r="X6" s="181"/>
    </row>
    <row r="7" spans="2:24" customFormat="1" x14ac:dyDescent="0.15">
      <c r="B7" s="383">
        <v>300</v>
      </c>
      <c r="C7" s="387">
        <v>36200000</v>
      </c>
      <c r="D7" s="387">
        <v>3492</v>
      </c>
      <c r="E7" s="388">
        <f t="shared" si="0"/>
        <v>126410</v>
      </c>
      <c r="F7" s="387">
        <v>37200000</v>
      </c>
      <c r="G7" s="387">
        <v>3492</v>
      </c>
      <c r="H7" s="388">
        <f t="shared" si="1"/>
        <v>129902</v>
      </c>
      <c r="I7" s="386">
        <v>37200000</v>
      </c>
      <c r="J7" s="387">
        <v>3492</v>
      </c>
      <c r="K7" s="388">
        <f t="shared" si="2"/>
        <v>129902</v>
      </c>
      <c r="L7" s="474"/>
      <c r="M7" s="474">
        <v>3492</v>
      </c>
      <c r="N7" s="336">
        <f t="shared" si="3"/>
        <v>0</v>
      </c>
      <c r="O7" s="345"/>
      <c r="P7" s="384">
        <v>300</v>
      </c>
      <c r="Q7" s="388">
        <v>1810000</v>
      </c>
      <c r="R7" s="388">
        <v>1810000</v>
      </c>
      <c r="S7" s="388">
        <v>1860000</v>
      </c>
      <c r="T7" s="383"/>
      <c r="V7" s="181"/>
      <c r="W7" s="181"/>
      <c r="X7" s="181"/>
    </row>
    <row r="8" spans="2:24" customFormat="1" x14ac:dyDescent="0.15">
      <c r="B8" s="383">
        <v>350</v>
      </c>
      <c r="C8" s="387">
        <v>41300000</v>
      </c>
      <c r="D8" s="387">
        <v>3492</v>
      </c>
      <c r="E8" s="388">
        <f t="shared" si="0"/>
        <v>144220</v>
      </c>
      <c r="F8" s="387">
        <v>42400000</v>
      </c>
      <c r="G8" s="387">
        <v>3492</v>
      </c>
      <c r="H8" s="388">
        <f t="shared" si="1"/>
        <v>148061</v>
      </c>
      <c r="I8" s="387">
        <v>42400000</v>
      </c>
      <c r="J8" s="387">
        <v>3492</v>
      </c>
      <c r="K8" s="388">
        <f t="shared" si="2"/>
        <v>148061</v>
      </c>
      <c r="L8" s="474">
        <v>43600000</v>
      </c>
      <c r="M8" s="474">
        <v>3492</v>
      </c>
      <c r="N8" s="336">
        <f t="shared" si="3"/>
        <v>152251</v>
      </c>
      <c r="O8" s="345"/>
      <c r="P8" s="384">
        <v>350</v>
      </c>
      <c r="Q8" s="388">
        <v>2065000</v>
      </c>
      <c r="R8" s="388">
        <v>2065000</v>
      </c>
      <c r="S8" s="388">
        <v>2120000</v>
      </c>
      <c r="T8" s="388">
        <v>2180000</v>
      </c>
      <c r="V8" s="181"/>
      <c r="W8" s="181"/>
      <c r="X8" s="181"/>
    </row>
    <row r="9" spans="2:24" customFormat="1" x14ac:dyDescent="0.15">
      <c r="B9" s="383">
        <v>400</v>
      </c>
      <c r="C9" s="387">
        <v>42900000</v>
      </c>
      <c r="D9" s="387">
        <v>3492</v>
      </c>
      <c r="E9" s="388">
        <f t="shared" si="0"/>
        <v>149807</v>
      </c>
      <c r="F9" s="387">
        <v>42900000</v>
      </c>
      <c r="G9" s="387">
        <v>3492</v>
      </c>
      <c r="H9" s="388">
        <f t="shared" si="1"/>
        <v>149807</v>
      </c>
      <c r="I9" s="387">
        <v>44200000</v>
      </c>
      <c r="J9" s="387">
        <v>3492</v>
      </c>
      <c r="K9" s="388">
        <f t="shared" si="2"/>
        <v>154346</v>
      </c>
      <c r="L9" s="474">
        <v>45400000</v>
      </c>
      <c r="M9" s="474">
        <v>3492</v>
      </c>
      <c r="N9" s="336">
        <f t="shared" si="3"/>
        <v>158537</v>
      </c>
      <c r="O9" s="345"/>
      <c r="P9" s="384">
        <v>400</v>
      </c>
      <c r="Q9" s="388">
        <v>2145000</v>
      </c>
      <c r="R9" s="388">
        <v>2145000</v>
      </c>
      <c r="S9" s="388">
        <v>2210000</v>
      </c>
      <c r="T9" s="388">
        <v>2270000</v>
      </c>
      <c r="V9" s="181"/>
      <c r="W9" s="181"/>
      <c r="X9" s="181"/>
    </row>
    <row r="10" spans="2:24" customFormat="1" x14ac:dyDescent="0.15">
      <c r="B10" s="383">
        <v>450</v>
      </c>
      <c r="C10" s="387">
        <v>46100000</v>
      </c>
      <c r="D10" s="387">
        <v>3492</v>
      </c>
      <c r="E10" s="388">
        <f t="shared" si="0"/>
        <v>160981</v>
      </c>
      <c r="F10" s="387">
        <v>46100000</v>
      </c>
      <c r="G10" s="387">
        <v>3492</v>
      </c>
      <c r="H10" s="388">
        <f t="shared" si="1"/>
        <v>160981</v>
      </c>
      <c r="I10" s="387">
        <v>47400000</v>
      </c>
      <c r="J10" s="387">
        <v>3492</v>
      </c>
      <c r="K10" s="388">
        <f t="shared" si="2"/>
        <v>165521</v>
      </c>
      <c r="L10" s="474">
        <v>48800000</v>
      </c>
      <c r="M10" s="474">
        <v>3492</v>
      </c>
      <c r="N10" s="336">
        <f t="shared" si="3"/>
        <v>170410</v>
      </c>
      <c r="O10" s="345"/>
      <c r="P10" s="384">
        <v>450</v>
      </c>
      <c r="Q10" s="388">
        <v>2305000</v>
      </c>
      <c r="R10" s="388">
        <v>2305000</v>
      </c>
      <c r="S10" s="388">
        <v>2370000</v>
      </c>
      <c r="T10" s="388">
        <v>2440000</v>
      </c>
      <c r="V10" s="181"/>
      <c r="W10" s="181"/>
      <c r="X10" s="181"/>
    </row>
    <row r="11" spans="2:24" customFormat="1" x14ac:dyDescent="0.15">
      <c r="B11" s="383">
        <v>500</v>
      </c>
      <c r="C11" s="387">
        <v>47200000</v>
      </c>
      <c r="D11" s="387">
        <v>3492</v>
      </c>
      <c r="E11" s="388">
        <f t="shared" si="0"/>
        <v>164822</v>
      </c>
      <c r="F11" s="387">
        <v>47200000</v>
      </c>
      <c r="G11" s="387">
        <v>3492</v>
      </c>
      <c r="H11" s="388">
        <f t="shared" si="1"/>
        <v>164822</v>
      </c>
      <c r="I11" s="387">
        <v>48400000</v>
      </c>
      <c r="J11" s="387">
        <v>3492</v>
      </c>
      <c r="K11" s="388">
        <f t="shared" si="2"/>
        <v>169013</v>
      </c>
      <c r="L11" s="474">
        <v>49400000</v>
      </c>
      <c r="M11" s="474">
        <v>3492</v>
      </c>
      <c r="N11" s="336">
        <f t="shared" si="3"/>
        <v>172505</v>
      </c>
      <c r="O11" s="345"/>
      <c r="P11" s="384">
        <v>500</v>
      </c>
      <c r="Q11" s="388">
        <v>2360000</v>
      </c>
      <c r="R11" s="388">
        <v>2360000</v>
      </c>
      <c r="S11" s="388">
        <v>2420000</v>
      </c>
      <c r="T11" s="388">
        <v>2470000</v>
      </c>
      <c r="V11" s="181"/>
      <c r="W11" s="181"/>
      <c r="X11" s="181"/>
    </row>
    <row r="12" spans="2:24" customFormat="1" x14ac:dyDescent="0.15">
      <c r="B12" s="383">
        <v>600</v>
      </c>
      <c r="C12" s="388">
        <v>49700000</v>
      </c>
      <c r="D12" s="387">
        <v>3492</v>
      </c>
      <c r="E12" s="388">
        <f t="shared" si="0"/>
        <v>173552</v>
      </c>
      <c r="F12" s="388">
        <v>49700000</v>
      </c>
      <c r="G12" s="387">
        <v>3492</v>
      </c>
      <c r="H12" s="388">
        <f t="shared" si="1"/>
        <v>173552</v>
      </c>
      <c r="I12" s="388">
        <v>53900000</v>
      </c>
      <c r="J12" s="387">
        <v>3492</v>
      </c>
      <c r="K12" s="388">
        <f t="shared" si="2"/>
        <v>188219</v>
      </c>
      <c r="L12" s="336">
        <v>55700000</v>
      </c>
      <c r="M12" s="474">
        <v>3492</v>
      </c>
      <c r="N12" s="336">
        <f t="shared" si="3"/>
        <v>194504</v>
      </c>
      <c r="O12" s="345"/>
      <c r="P12" s="384">
        <v>600</v>
      </c>
      <c r="Q12" s="388">
        <v>2485000</v>
      </c>
      <c r="R12" s="388">
        <v>2485000</v>
      </c>
      <c r="S12" s="388">
        <v>2695000</v>
      </c>
      <c r="T12" s="388">
        <v>2785000</v>
      </c>
      <c r="V12" s="181"/>
      <c r="W12" s="181"/>
      <c r="X12" s="181"/>
    </row>
    <row r="13" spans="2:24" customFormat="1" x14ac:dyDescent="0.15">
      <c r="B13" s="383">
        <v>700</v>
      </c>
      <c r="C13" s="388">
        <v>51100000</v>
      </c>
      <c r="D13" s="387">
        <v>3492</v>
      </c>
      <c r="E13" s="388">
        <f t="shared" si="0"/>
        <v>178441</v>
      </c>
      <c r="F13" s="388">
        <v>51100000</v>
      </c>
      <c r="G13" s="387">
        <v>3492</v>
      </c>
      <c r="H13" s="388">
        <f t="shared" si="1"/>
        <v>178441</v>
      </c>
      <c r="I13" s="388">
        <v>55300000</v>
      </c>
      <c r="J13" s="387">
        <v>3492</v>
      </c>
      <c r="K13" s="388">
        <f t="shared" si="2"/>
        <v>193108</v>
      </c>
      <c r="L13" s="336">
        <v>56900000</v>
      </c>
      <c r="M13" s="474">
        <v>3492</v>
      </c>
      <c r="N13" s="336">
        <f t="shared" si="3"/>
        <v>198695</v>
      </c>
      <c r="O13" s="345"/>
      <c r="P13" s="384">
        <v>700</v>
      </c>
      <c r="Q13" s="388">
        <v>2555000</v>
      </c>
      <c r="R13" s="388">
        <v>2555000</v>
      </c>
      <c r="S13" s="388">
        <v>2765000</v>
      </c>
      <c r="T13" s="388">
        <v>2845000</v>
      </c>
      <c r="V13" s="181"/>
      <c r="W13" s="181"/>
      <c r="X13" s="181"/>
    </row>
    <row r="14" spans="2:24" customFormat="1" x14ac:dyDescent="0.15">
      <c r="B14" s="389"/>
      <c r="C14" s="389"/>
      <c r="D14" s="389"/>
    </row>
    <row r="15" spans="2:24" customFormat="1" x14ac:dyDescent="0.15">
      <c r="B15" s="383">
        <v>1</v>
      </c>
      <c r="C15" s="383" t="s">
        <v>243</v>
      </c>
      <c r="D15" s="388">
        <f>IF(条件入力!$D$8="","",VLOOKUP(条件入力!$D$8,機械単価!$B$6:$N$13,4,FALSE))</f>
        <v>149807</v>
      </c>
      <c r="Q15" s="383" t="s">
        <v>243</v>
      </c>
      <c r="R15" s="476">
        <f>IF(条件入力!$D$8="","",VLOOKUP(条件入力!$D$8,機械単価!$P$6:$T$13,2,FALSE))</f>
        <v>2145000</v>
      </c>
    </row>
    <row r="16" spans="2:24" customFormat="1" x14ac:dyDescent="0.15">
      <c r="B16" s="383">
        <v>2</v>
      </c>
      <c r="C16" s="383" t="s">
        <v>244</v>
      </c>
      <c r="D16" s="388">
        <f>IF(条件入力!$D$8="","",VLOOKUP(条件入力!$D$8,機械単価!$B$6:$N$13,7,FALSE))</f>
        <v>149807</v>
      </c>
      <c r="Q16" s="383" t="s">
        <v>244</v>
      </c>
      <c r="R16" s="476">
        <f>IF(条件入力!$D$8="","",VLOOKUP(条件入力!$D$8,機械単価!$P$6:$T$13,3,FALSE))</f>
        <v>2145000</v>
      </c>
    </row>
    <row r="17" spans="2:29" customFormat="1" x14ac:dyDescent="0.15">
      <c r="B17" s="383">
        <v>3</v>
      </c>
      <c r="C17" s="383" t="s">
        <v>245</v>
      </c>
      <c r="D17" s="388">
        <f>IF(条件入力!$D$8="","",VLOOKUP(条件入力!$D$8,機械単価!$B$6:$N$13,7,FALSE))</f>
        <v>149807</v>
      </c>
      <c r="Q17" s="383" t="s">
        <v>245</v>
      </c>
      <c r="R17" s="476">
        <f>IF(条件入力!$D$8="","",VLOOKUP(条件入力!$D$8,機械単価!$P$6:$T$13,3,FALSE))</f>
        <v>2145000</v>
      </c>
    </row>
    <row r="18" spans="2:29" customFormat="1" x14ac:dyDescent="0.15">
      <c r="B18" s="383">
        <v>4</v>
      </c>
      <c r="C18" s="383" t="s">
        <v>100</v>
      </c>
      <c r="D18" s="388">
        <f>IF(条件入力!$D$8="","",VLOOKUP(条件入力!$D$8,機械単価!$B$6:$N$13,13,FALSE))</f>
        <v>158537</v>
      </c>
      <c r="Q18" s="383" t="s">
        <v>100</v>
      </c>
      <c r="R18" s="476">
        <f>IF(条件入力!$D$8="","",VLOOKUP(条件入力!$D$8,機械単価!$P$6:$T$13,5,FALSE))</f>
        <v>2270000</v>
      </c>
    </row>
    <row r="19" spans="2:29" customFormat="1" x14ac:dyDescent="0.15">
      <c r="B19" s="383">
        <v>5</v>
      </c>
      <c r="C19" s="383" t="s">
        <v>104</v>
      </c>
      <c r="D19" s="388">
        <f>IF(条件入力!$D$8="","",VLOOKUP(条件入力!$D$8,機械単価!$B$6:$N$13,13,FALSE))</f>
        <v>158537</v>
      </c>
      <c r="Q19" s="383" t="s">
        <v>104</v>
      </c>
      <c r="R19" s="476">
        <f>IF(条件入力!$D$8="","",VLOOKUP(条件入力!$D$8,機械単価!$P$6:$T$13,5,FALSE))</f>
        <v>2270000</v>
      </c>
    </row>
    <row r="20" spans="2:29" customFormat="1" x14ac:dyDescent="0.15">
      <c r="B20" s="383">
        <v>6</v>
      </c>
      <c r="C20" s="383" t="s">
        <v>110</v>
      </c>
      <c r="D20" s="388">
        <f>IF(条件入力!$D$8="","",VLOOKUP(条件入力!$D$8,機械単価!$B$6:$N$13,10,FALSE))</f>
        <v>154346</v>
      </c>
      <c r="Q20" s="383" t="s">
        <v>110</v>
      </c>
      <c r="R20" s="476">
        <f>IF(条件入力!$D$8="","",VLOOKUP(条件入力!$D$8,機械単価!$P$6:$T$13,4,FALSE))</f>
        <v>2210000</v>
      </c>
    </row>
    <row r="21" spans="2:29" customFormat="1" x14ac:dyDescent="0.15">
      <c r="B21" s="383">
        <v>7</v>
      </c>
      <c r="C21" s="383" t="s">
        <v>114</v>
      </c>
      <c r="D21" s="388">
        <f>IF(条件入力!$D$8="","",VLOOKUP(条件入力!$D$8,機械単価!$B$6:$N$13,10,FALSE))</f>
        <v>154346</v>
      </c>
      <c r="Q21" s="383" t="s">
        <v>114</v>
      </c>
      <c r="R21" s="476">
        <f>IF(条件入力!$D$8="","",VLOOKUP(条件入力!$D$8,機械単価!$P$6:$T$13,4,FALSE))</f>
        <v>2210000</v>
      </c>
    </row>
    <row r="22" spans="2:29" customFormat="1" x14ac:dyDescent="0.15">
      <c r="B22" s="383">
        <v>8</v>
      </c>
      <c r="C22" s="383" t="s">
        <v>122</v>
      </c>
      <c r="D22" s="388">
        <f>IF(条件入力!$D$8="","",VLOOKUP(条件入力!$D$8,機械単価!$B$6:$N$13,13,FALSE))</f>
        <v>158537</v>
      </c>
      <c r="Q22" s="383" t="s">
        <v>122</v>
      </c>
      <c r="R22" s="476">
        <f>IF(条件入力!$D$8="","",VLOOKUP(条件入力!$D$8,機械単価!$P$6:$T$13,5,FALSE))</f>
        <v>2270000</v>
      </c>
    </row>
    <row r="23" spans="2:29" customFormat="1" x14ac:dyDescent="0.15">
      <c r="B23" s="383">
        <v>9</v>
      </c>
      <c r="C23" s="383" t="s">
        <v>671</v>
      </c>
      <c r="D23" s="388">
        <f>IF(条件入力!$D$8="","",VLOOKUP(条件入力!$D$8,機械単価!$B$6:$N$13,13,FALSE))</f>
        <v>158537</v>
      </c>
      <c r="Q23" s="383" t="s">
        <v>671</v>
      </c>
      <c r="R23" s="476">
        <f>IF(条件入力!$D$8="","",VLOOKUP(条件入力!$D$8,機械単価!$P$6:$T$13,5,FALSE))</f>
        <v>2270000</v>
      </c>
    </row>
    <row r="24" spans="2:29" customFormat="1" x14ac:dyDescent="0.15">
      <c r="B24" s="383">
        <v>10</v>
      </c>
      <c r="C24" s="383" t="s">
        <v>672</v>
      </c>
      <c r="D24" s="388">
        <f>IF(条件入力!$D$8="","",VLOOKUP(条件入力!$D$8,機械単価!$B$6:$N$13,13,FALSE))</f>
        <v>158537</v>
      </c>
      <c r="Q24" s="383" t="s">
        <v>672</v>
      </c>
      <c r="R24" s="476">
        <f>IF(条件入力!$D$8="","",VLOOKUP(条件入力!$D$8,機械単価!$P$6:$T$13,5,FALSE))</f>
        <v>2270000</v>
      </c>
    </row>
    <row r="25" spans="2:29" customFormat="1" x14ac:dyDescent="0.15">
      <c r="B25" s="383">
        <v>11</v>
      </c>
      <c r="C25" s="383" t="s">
        <v>673</v>
      </c>
      <c r="D25" s="388">
        <f>IF(条件入力!$D$8="","",VLOOKUP(条件入力!$D$8,機械単価!$B$6:$N$13,13,FALSE))</f>
        <v>158537</v>
      </c>
      <c r="Q25" s="383" t="s">
        <v>673</v>
      </c>
      <c r="R25" s="476">
        <f>IF(条件入力!$D$8="","",VLOOKUP(条件入力!$D$8,機械単価!$P$6:$T$13,5,FALSE))</f>
        <v>2270000</v>
      </c>
    </row>
    <row r="26" spans="2:29" customFormat="1" x14ac:dyDescent="0.15">
      <c r="B26" s="383">
        <v>12</v>
      </c>
      <c r="C26" s="383" t="s">
        <v>674</v>
      </c>
      <c r="D26" s="388">
        <f>IF(条件入力!$D$8="","",VLOOKUP(条件入力!$D$8,機械単価!$B$6:$N$13,13,FALSE))</f>
        <v>158537</v>
      </c>
      <c r="Q26" s="383" t="s">
        <v>674</v>
      </c>
      <c r="R26" s="476">
        <f>IF(条件入力!$D$8="","",VLOOKUP(条件入力!$D$8,機械単価!$P$6:$T$13,5,FALSE))</f>
        <v>2270000</v>
      </c>
    </row>
    <row r="27" spans="2:29" customFormat="1" x14ac:dyDescent="0.15"/>
    <row r="28" spans="2:29" customFormat="1" x14ac:dyDescent="0.15"/>
    <row r="29" spans="2:29" customFormat="1" x14ac:dyDescent="0.15">
      <c r="B29" t="s">
        <v>675</v>
      </c>
    </row>
    <row r="30" spans="2:29" customFormat="1" x14ac:dyDescent="0.15">
      <c r="B30" s="383"/>
      <c r="C30" s="769" t="s">
        <v>676</v>
      </c>
      <c r="D30" s="770"/>
      <c r="E30" s="771"/>
      <c r="F30" s="766" t="s">
        <v>614</v>
      </c>
      <c r="G30" s="767"/>
      <c r="H30" s="768"/>
      <c r="I30" s="769" t="s">
        <v>615</v>
      </c>
      <c r="J30" s="770"/>
      <c r="K30" s="771"/>
      <c r="L30" s="766" t="s">
        <v>616</v>
      </c>
      <c r="M30" s="767"/>
      <c r="N30" s="768"/>
      <c r="O30" s="766" t="s">
        <v>617</v>
      </c>
      <c r="P30" s="767"/>
      <c r="Q30" s="768"/>
      <c r="R30" s="766" t="s">
        <v>618</v>
      </c>
      <c r="S30" s="767"/>
      <c r="T30" s="768"/>
      <c r="U30" s="766" t="s">
        <v>619</v>
      </c>
      <c r="V30" s="767"/>
      <c r="W30" s="768"/>
      <c r="X30" s="766" t="s">
        <v>620</v>
      </c>
      <c r="Y30" s="767"/>
      <c r="Z30" s="768"/>
      <c r="AA30" s="766" t="s">
        <v>621</v>
      </c>
      <c r="AB30" s="767"/>
      <c r="AC30" s="768"/>
    </row>
    <row r="31" spans="2:29" customFormat="1" x14ac:dyDescent="0.15">
      <c r="B31" s="383"/>
      <c r="C31" s="384" t="s">
        <v>669</v>
      </c>
      <c r="D31" s="390" t="s">
        <v>677</v>
      </c>
      <c r="E31" s="384" t="s">
        <v>678</v>
      </c>
      <c r="F31" s="384" t="s">
        <v>669</v>
      </c>
      <c r="G31" s="390" t="s">
        <v>677</v>
      </c>
      <c r="H31" s="384" t="s">
        <v>678</v>
      </c>
      <c r="I31" s="384" t="s">
        <v>669</v>
      </c>
      <c r="J31" s="390" t="s">
        <v>677</v>
      </c>
      <c r="K31" s="384" t="s">
        <v>678</v>
      </c>
      <c r="L31" s="384" t="s">
        <v>669</v>
      </c>
      <c r="M31" s="390" t="s">
        <v>677</v>
      </c>
      <c r="N31" s="384" t="s">
        <v>678</v>
      </c>
      <c r="O31" s="384" t="s">
        <v>669</v>
      </c>
      <c r="P31" s="390" t="s">
        <v>677</v>
      </c>
      <c r="Q31" s="384" t="s">
        <v>678</v>
      </c>
      <c r="R31" s="384" t="s">
        <v>669</v>
      </c>
      <c r="S31" s="390" t="s">
        <v>677</v>
      </c>
      <c r="T31" s="384" t="s">
        <v>678</v>
      </c>
      <c r="U31" s="384" t="s">
        <v>669</v>
      </c>
      <c r="V31" s="390" t="s">
        <v>677</v>
      </c>
      <c r="W31" s="384" t="s">
        <v>678</v>
      </c>
      <c r="X31" s="384" t="s">
        <v>669</v>
      </c>
      <c r="Y31" s="390" t="s">
        <v>677</v>
      </c>
      <c r="Z31" s="384" t="s">
        <v>678</v>
      </c>
      <c r="AA31" s="384" t="s">
        <v>669</v>
      </c>
      <c r="AB31" s="390" t="s">
        <v>677</v>
      </c>
      <c r="AC31" s="384" t="s">
        <v>678</v>
      </c>
    </row>
    <row r="32" spans="2:29" customFormat="1" x14ac:dyDescent="0.15">
      <c r="B32" s="383">
        <v>250</v>
      </c>
      <c r="C32" s="387">
        <v>0</v>
      </c>
      <c r="D32" s="387">
        <v>0</v>
      </c>
      <c r="E32" s="388">
        <v>0</v>
      </c>
      <c r="F32" s="387">
        <v>0</v>
      </c>
      <c r="G32" s="387">
        <v>0</v>
      </c>
      <c r="H32" s="388">
        <v>0</v>
      </c>
      <c r="I32" s="387">
        <v>960000</v>
      </c>
      <c r="J32" s="387">
        <v>350</v>
      </c>
      <c r="K32" s="388">
        <f t="shared" ref="K32:K39" si="4">I32/J32</f>
        <v>2742.8571428571427</v>
      </c>
      <c r="L32" s="387">
        <v>960000</v>
      </c>
      <c r="M32" s="387">
        <v>100</v>
      </c>
      <c r="N32" s="388">
        <f t="shared" ref="N32:N39" si="5">L32/M32</f>
        <v>9600</v>
      </c>
      <c r="O32" s="387">
        <v>0</v>
      </c>
      <c r="P32" s="387">
        <v>0</v>
      </c>
      <c r="Q32" s="388">
        <v>0</v>
      </c>
      <c r="R32" s="387">
        <v>0</v>
      </c>
      <c r="S32" s="387">
        <v>0</v>
      </c>
      <c r="T32" s="388">
        <v>0</v>
      </c>
      <c r="U32" s="387">
        <v>0</v>
      </c>
      <c r="V32" s="387">
        <v>0</v>
      </c>
      <c r="W32" s="388">
        <v>0</v>
      </c>
      <c r="X32" s="387">
        <v>0</v>
      </c>
      <c r="Y32" s="387">
        <v>0</v>
      </c>
      <c r="Z32" s="388">
        <v>0</v>
      </c>
      <c r="AA32" s="387">
        <v>0</v>
      </c>
      <c r="AB32" s="387">
        <v>0</v>
      </c>
      <c r="AC32" s="388">
        <v>0</v>
      </c>
    </row>
    <row r="33" spans="2:29" customFormat="1" x14ac:dyDescent="0.15">
      <c r="B33" s="383">
        <v>300</v>
      </c>
      <c r="C33" s="387">
        <v>0</v>
      </c>
      <c r="D33" s="387">
        <v>0</v>
      </c>
      <c r="E33" s="388">
        <v>0</v>
      </c>
      <c r="F33" s="387">
        <v>0</v>
      </c>
      <c r="G33" s="387">
        <v>0</v>
      </c>
      <c r="H33" s="388">
        <v>0</v>
      </c>
      <c r="I33" s="387">
        <v>1200000</v>
      </c>
      <c r="J33" s="387">
        <v>350</v>
      </c>
      <c r="K33" s="388">
        <f t="shared" si="4"/>
        <v>3428.5714285714284</v>
      </c>
      <c r="L33" s="387">
        <v>1200000</v>
      </c>
      <c r="M33" s="387">
        <v>100</v>
      </c>
      <c r="N33" s="388">
        <f t="shared" si="5"/>
        <v>12000</v>
      </c>
      <c r="O33" s="387">
        <v>0</v>
      </c>
      <c r="P33" s="387">
        <v>0</v>
      </c>
      <c r="Q33" s="388">
        <v>0</v>
      </c>
      <c r="R33" s="387">
        <v>0</v>
      </c>
      <c r="S33" s="387">
        <v>0</v>
      </c>
      <c r="T33" s="388">
        <v>0</v>
      </c>
      <c r="U33" s="387">
        <v>0</v>
      </c>
      <c r="V33" s="387">
        <v>0</v>
      </c>
      <c r="W33" s="388">
        <v>0</v>
      </c>
      <c r="X33" s="387">
        <v>0</v>
      </c>
      <c r="Y33" s="387">
        <v>0</v>
      </c>
      <c r="Z33" s="388">
        <v>0</v>
      </c>
      <c r="AA33" s="387">
        <v>0</v>
      </c>
      <c r="AB33" s="387">
        <v>0</v>
      </c>
      <c r="AC33" s="388">
        <v>0</v>
      </c>
    </row>
    <row r="34" spans="2:29" customFormat="1" x14ac:dyDescent="0.15">
      <c r="B34" s="383">
        <v>350</v>
      </c>
      <c r="C34" s="387">
        <v>4760000</v>
      </c>
      <c r="D34" s="387">
        <v>100</v>
      </c>
      <c r="E34" s="388">
        <f t="shared" ref="E34:E39" si="6">C34/D34</f>
        <v>47600</v>
      </c>
      <c r="F34" s="387">
        <v>0</v>
      </c>
      <c r="G34" s="387">
        <v>100</v>
      </c>
      <c r="H34" s="388">
        <f t="shared" ref="H34:H39" si="7">F34/G34</f>
        <v>0</v>
      </c>
      <c r="I34" s="387">
        <v>1440000</v>
      </c>
      <c r="J34" s="387">
        <v>350</v>
      </c>
      <c r="K34" s="388">
        <f t="shared" si="4"/>
        <v>4114.2857142857147</v>
      </c>
      <c r="L34" s="387">
        <v>1440000</v>
      </c>
      <c r="M34" s="387">
        <v>150</v>
      </c>
      <c r="N34" s="388">
        <f t="shared" si="5"/>
        <v>9600</v>
      </c>
      <c r="O34" s="387">
        <v>4760000</v>
      </c>
      <c r="P34" s="387">
        <v>100</v>
      </c>
      <c r="Q34" s="388">
        <f t="shared" ref="Q34:Q39" si="8">O34/P34</f>
        <v>47600</v>
      </c>
      <c r="R34" s="387">
        <v>0</v>
      </c>
      <c r="S34" s="387">
        <v>0</v>
      </c>
      <c r="T34" s="388">
        <v>0</v>
      </c>
      <c r="U34" s="387">
        <v>0</v>
      </c>
      <c r="V34" s="387">
        <v>0</v>
      </c>
      <c r="W34" s="388">
        <v>0</v>
      </c>
      <c r="X34" s="387">
        <v>0</v>
      </c>
      <c r="Y34" s="387">
        <v>0</v>
      </c>
      <c r="Z34" s="388">
        <v>0</v>
      </c>
      <c r="AA34" s="387">
        <v>0</v>
      </c>
      <c r="AB34" s="387">
        <v>0</v>
      </c>
      <c r="AC34" s="388">
        <v>0</v>
      </c>
    </row>
    <row r="35" spans="2:29" customFormat="1" x14ac:dyDescent="0.15">
      <c r="B35" s="383">
        <v>400</v>
      </c>
      <c r="C35" s="387">
        <v>6320000</v>
      </c>
      <c r="D35" s="387">
        <v>100</v>
      </c>
      <c r="E35" s="388">
        <f t="shared" si="6"/>
        <v>63200</v>
      </c>
      <c r="F35" s="387">
        <v>0</v>
      </c>
      <c r="G35" s="387">
        <v>100</v>
      </c>
      <c r="H35" s="388">
        <f t="shared" si="7"/>
        <v>0</v>
      </c>
      <c r="I35" s="387">
        <v>1600000</v>
      </c>
      <c r="J35" s="387">
        <v>350</v>
      </c>
      <c r="K35" s="388">
        <f t="shared" si="4"/>
        <v>4571.4285714285716</v>
      </c>
      <c r="L35" s="387">
        <v>1600000</v>
      </c>
      <c r="M35" s="387">
        <v>150</v>
      </c>
      <c r="N35" s="388">
        <f t="shared" si="5"/>
        <v>10666.666666666666</v>
      </c>
      <c r="O35" s="387">
        <v>6320000</v>
      </c>
      <c r="P35" s="387">
        <v>100</v>
      </c>
      <c r="Q35" s="388">
        <f t="shared" si="8"/>
        <v>63200</v>
      </c>
      <c r="R35" s="387">
        <v>0</v>
      </c>
      <c r="S35" s="387">
        <v>0</v>
      </c>
      <c r="T35" s="388">
        <v>0</v>
      </c>
      <c r="U35" s="387">
        <v>0</v>
      </c>
      <c r="V35" s="387">
        <v>0</v>
      </c>
      <c r="W35" s="388">
        <v>0</v>
      </c>
      <c r="X35" s="387">
        <v>0</v>
      </c>
      <c r="Y35" s="387">
        <v>0</v>
      </c>
      <c r="Z35" s="388">
        <v>0</v>
      </c>
      <c r="AA35" s="387">
        <v>0</v>
      </c>
      <c r="AB35" s="387">
        <v>0</v>
      </c>
      <c r="AC35" s="388">
        <v>0</v>
      </c>
    </row>
    <row r="36" spans="2:29" customFormat="1" x14ac:dyDescent="0.15">
      <c r="B36" s="383">
        <v>450</v>
      </c>
      <c r="C36" s="387">
        <v>6840000</v>
      </c>
      <c r="D36" s="387">
        <v>100</v>
      </c>
      <c r="E36" s="388">
        <f t="shared" si="6"/>
        <v>68400</v>
      </c>
      <c r="F36" s="387">
        <v>0</v>
      </c>
      <c r="G36" s="387">
        <v>100</v>
      </c>
      <c r="H36" s="388">
        <f t="shared" si="7"/>
        <v>0</v>
      </c>
      <c r="I36" s="387">
        <v>1760000</v>
      </c>
      <c r="J36" s="387">
        <v>350</v>
      </c>
      <c r="K36" s="388">
        <f t="shared" si="4"/>
        <v>5028.5714285714284</v>
      </c>
      <c r="L36" s="387">
        <v>1760000</v>
      </c>
      <c r="M36" s="387">
        <v>150</v>
      </c>
      <c r="N36" s="388">
        <f t="shared" si="5"/>
        <v>11733.333333333334</v>
      </c>
      <c r="O36" s="387">
        <v>6840000</v>
      </c>
      <c r="P36" s="387">
        <v>100</v>
      </c>
      <c r="Q36" s="388">
        <f t="shared" si="8"/>
        <v>68400</v>
      </c>
      <c r="R36" s="387">
        <v>0</v>
      </c>
      <c r="S36" s="387">
        <v>0</v>
      </c>
      <c r="T36" s="388">
        <v>0</v>
      </c>
      <c r="U36" s="387">
        <v>0</v>
      </c>
      <c r="V36" s="387">
        <v>0</v>
      </c>
      <c r="W36" s="388">
        <v>0</v>
      </c>
      <c r="X36" s="387">
        <v>0</v>
      </c>
      <c r="Y36" s="387">
        <v>0</v>
      </c>
      <c r="Z36" s="388">
        <v>0</v>
      </c>
      <c r="AA36" s="387">
        <v>0</v>
      </c>
      <c r="AB36" s="387">
        <v>0</v>
      </c>
      <c r="AC36" s="388">
        <v>0</v>
      </c>
    </row>
    <row r="37" spans="2:29" customFormat="1" x14ac:dyDescent="0.15">
      <c r="B37" s="383">
        <v>500</v>
      </c>
      <c r="C37" s="387">
        <v>6840000</v>
      </c>
      <c r="D37" s="387">
        <v>100</v>
      </c>
      <c r="E37" s="388">
        <f t="shared" si="6"/>
        <v>68400</v>
      </c>
      <c r="F37" s="387">
        <v>0</v>
      </c>
      <c r="G37" s="387">
        <v>100</v>
      </c>
      <c r="H37" s="388">
        <f t="shared" si="7"/>
        <v>0</v>
      </c>
      <c r="I37" s="387">
        <v>2240000</v>
      </c>
      <c r="J37" s="387">
        <v>350</v>
      </c>
      <c r="K37" s="388">
        <f t="shared" si="4"/>
        <v>6400</v>
      </c>
      <c r="L37" s="387">
        <v>2240000</v>
      </c>
      <c r="M37" s="387">
        <v>150</v>
      </c>
      <c r="N37" s="388">
        <f t="shared" si="5"/>
        <v>14933.333333333334</v>
      </c>
      <c r="O37" s="387">
        <v>6840000</v>
      </c>
      <c r="P37" s="387">
        <v>100</v>
      </c>
      <c r="Q37" s="388">
        <f t="shared" si="8"/>
        <v>68400</v>
      </c>
      <c r="R37" s="387">
        <v>0</v>
      </c>
      <c r="S37" s="387">
        <v>0</v>
      </c>
      <c r="T37" s="388">
        <v>0</v>
      </c>
      <c r="U37" s="387">
        <v>0</v>
      </c>
      <c r="V37" s="387">
        <v>0</v>
      </c>
      <c r="W37" s="388">
        <v>0</v>
      </c>
      <c r="X37" s="387">
        <v>0</v>
      </c>
      <c r="Y37" s="387">
        <v>0</v>
      </c>
      <c r="Z37" s="388">
        <v>0</v>
      </c>
      <c r="AA37" s="387">
        <v>0</v>
      </c>
      <c r="AB37" s="387">
        <v>0</v>
      </c>
      <c r="AC37" s="388">
        <v>0</v>
      </c>
    </row>
    <row r="38" spans="2:29" customFormat="1" x14ac:dyDescent="0.15">
      <c r="B38" s="383">
        <v>600</v>
      </c>
      <c r="C38" s="388">
        <v>7200000</v>
      </c>
      <c r="D38" s="383">
        <v>250</v>
      </c>
      <c r="E38" s="388">
        <f t="shared" si="6"/>
        <v>28800</v>
      </c>
      <c r="F38" s="388">
        <v>7200000</v>
      </c>
      <c r="G38" s="383">
        <v>200</v>
      </c>
      <c r="H38" s="388">
        <f t="shared" si="7"/>
        <v>36000</v>
      </c>
      <c r="I38" s="388">
        <v>2960000</v>
      </c>
      <c r="J38" s="383">
        <v>500</v>
      </c>
      <c r="K38" s="388">
        <f t="shared" si="4"/>
        <v>5920</v>
      </c>
      <c r="L38" s="388">
        <v>2960000</v>
      </c>
      <c r="M38" s="383">
        <v>250</v>
      </c>
      <c r="N38" s="388">
        <f t="shared" si="5"/>
        <v>11840</v>
      </c>
      <c r="O38" s="388">
        <v>7200000</v>
      </c>
      <c r="P38" s="383">
        <v>150</v>
      </c>
      <c r="Q38" s="388">
        <f t="shared" si="8"/>
        <v>48000</v>
      </c>
      <c r="R38" s="388">
        <v>7200000</v>
      </c>
      <c r="S38" s="383">
        <v>100</v>
      </c>
      <c r="T38" s="388">
        <f>R38/S38</f>
        <v>72000</v>
      </c>
      <c r="U38" s="388">
        <v>9980000</v>
      </c>
      <c r="V38" s="383">
        <v>80</v>
      </c>
      <c r="W38" s="388">
        <f>U38/V38</f>
        <v>124750</v>
      </c>
      <c r="X38" s="388">
        <v>9980000</v>
      </c>
      <c r="Y38" s="383">
        <v>50</v>
      </c>
      <c r="Z38" s="388">
        <f>X38/Y38</f>
        <v>199600</v>
      </c>
      <c r="AA38" s="388">
        <v>9980000</v>
      </c>
      <c r="AB38" s="383">
        <v>35</v>
      </c>
      <c r="AC38" s="388">
        <f>AA38/AB38</f>
        <v>285142.85714285716</v>
      </c>
    </row>
    <row r="39" spans="2:29" customFormat="1" x14ac:dyDescent="0.15">
      <c r="B39" s="383">
        <v>700</v>
      </c>
      <c r="C39" s="388">
        <v>7440000</v>
      </c>
      <c r="D39" s="383">
        <v>250</v>
      </c>
      <c r="E39" s="388">
        <f t="shared" si="6"/>
        <v>29760</v>
      </c>
      <c r="F39" s="388">
        <v>7440000</v>
      </c>
      <c r="G39" s="383">
        <v>200</v>
      </c>
      <c r="H39" s="388">
        <f t="shared" si="7"/>
        <v>37200</v>
      </c>
      <c r="I39" s="388">
        <v>3440000</v>
      </c>
      <c r="J39" s="383">
        <v>500</v>
      </c>
      <c r="K39" s="388">
        <f t="shared" si="4"/>
        <v>6880</v>
      </c>
      <c r="L39" s="388">
        <v>3440000</v>
      </c>
      <c r="M39" s="383">
        <v>250</v>
      </c>
      <c r="N39" s="388">
        <f t="shared" si="5"/>
        <v>13760</v>
      </c>
      <c r="O39" s="388">
        <v>7440000</v>
      </c>
      <c r="P39" s="383">
        <v>150</v>
      </c>
      <c r="Q39" s="388">
        <f t="shared" si="8"/>
        <v>49600</v>
      </c>
      <c r="R39" s="388">
        <v>7440000</v>
      </c>
      <c r="S39" s="383">
        <v>100</v>
      </c>
      <c r="T39" s="388">
        <f>R39/S39</f>
        <v>74400</v>
      </c>
      <c r="U39" s="388">
        <v>10320000</v>
      </c>
      <c r="V39" s="383">
        <v>80</v>
      </c>
      <c r="W39" s="388">
        <f>U39/V39</f>
        <v>129000</v>
      </c>
      <c r="X39" s="388">
        <v>10320000</v>
      </c>
      <c r="Y39" s="383">
        <v>50</v>
      </c>
      <c r="Z39" s="388">
        <f>X39/Y39</f>
        <v>206400</v>
      </c>
      <c r="AA39" s="388">
        <v>10320000</v>
      </c>
      <c r="AB39" s="383">
        <v>35</v>
      </c>
      <c r="AC39" s="388">
        <f>AA39/AB39</f>
        <v>294857.14285714284</v>
      </c>
    </row>
    <row r="40" spans="2:29" customFormat="1" x14ac:dyDescent="0.15"/>
    <row r="41" spans="2:29" customFormat="1" x14ac:dyDescent="0.15"/>
    <row r="42" spans="2:29" customFormat="1" x14ac:dyDescent="0.15"/>
    <row r="43" spans="2:29" customFormat="1" x14ac:dyDescent="0.15">
      <c r="B43" t="s">
        <v>679</v>
      </c>
      <c r="G43" t="s">
        <v>680</v>
      </c>
    </row>
    <row r="44" spans="2:29" customFormat="1" x14ac:dyDescent="0.15">
      <c r="B44" s="383">
        <v>4</v>
      </c>
      <c r="C44" s="383" t="s">
        <v>100</v>
      </c>
      <c r="D44" s="388">
        <f>IF(条件入力!$D$8="","",VLOOKUP(条件入力!$D$8,機械単価!$B$32:$AC$39,4,FALSE))</f>
        <v>63200</v>
      </c>
      <c r="G44" s="384" t="s">
        <v>681</v>
      </c>
      <c r="H44" s="384" t="s">
        <v>681</v>
      </c>
      <c r="I44" s="384" t="s">
        <v>681</v>
      </c>
      <c r="J44" s="384" t="s">
        <v>681</v>
      </c>
      <c r="K44" s="384" t="s">
        <v>681</v>
      </c>
      <c r="L44" s="384" t="s">
        <v>681</v>
      </c>
      <c r="M44" s="384" t="s">
        <v>681</v>
      </c>
      <c r="N44" s="384" t="s">
        <v>681</v>
      </c>
      <c r="O44" s="384" t="s">
        <v>681</v>
      </c>
    </row>
    <row r="45" spans="2:29" customFormat="1" x14ac:dyDescent="0.15">
      <c r="B45" s="383">
        <v>5</v>
      </c>
      <c r="C45" s="383" t="s">
        <v>104</v>
      </c>
      <c r="D45" s="388">
        <f>IF(条件入力!$D$8="","",VLOOKUP(条件入力!$D$8,機械単価!$B$32:$AC$39,7,FALSE))</f>
        <v>0</v>
      </c>
      <c r="G45" s="383">
        <f>4</f>
        <v>4</v>
      </c>
      <c r="H45" s="383">
        <f>5</f>
        <v>5</v>
      </c>
      <c r="I45" s="383">
        <f>6</f>
        <v>6</v>
      </c>
      <c r="J45" s="383">
        <f>7</f>
        <v>7</v>
      </c>
      <c r="K45" s="383">
        <f>8</f>
        <v>8</v>
      </c>
      <c r="L45" s="383">
        <f>9</f>
        <v>9</v>
      </c>
      <c r="M45" s="383">
        <f>10</f>
        <v>10</v>
      </c>
      <c r="N45" s="383">
        <f>11</f>
        <v>11</v>
      </c>
      <c r="O45" s="383">
        <f>12</f>
        <v>12</v>
      </c>
    </row>
    <row r="46" spans="2:29" customFormat="1" x14ac:dyDescent="0.15">
      <c r="B46" s="383">
        <v>6</v>
      </c>
      <c r="C46" s="383" t="s">
        <v>110</v>
      </c>
      <c r="D46" s="388">
        <f>IF(条件入力!$D$8="","",VLOOKUP(条件入力!$D$8,機械単価!$B$32:$AC$39,10,FALSE))</f>
        <v>4571.4285714285716</v>
      </c>
      <c r="G46" t="s">
        <v>682</v>
      </c>
    </row>
    <row r="47" spans="2:29" customFormat="1" x14ac:dyDescent="0.15">
      <c r="B47" s="383">
        <v>7</v>
      </c>
      <c r="C47" s="383" t="s">
        <v>114</v>
      </c>
      <c r="D47" s="388">
        <f>IF(条件入力!$D$8="","",VLOOKUP(条件入力!$D$8,機械単価!$B$32:$AC$39,13,FALSE))</f>
        <v>10666.666666666666</v>
      </c>
      <c r="G47" s="383"/>
      <c r="H47" s="384" t="s">
        <v>683</v>
      </c>
      <c r="I47" s="384" t="s">
        <v>681</v>
      </c>
      <c r="J47" s="384" t="s">
        <v>684</v>
      </c>
    </row>
    <row r="48" spans="2:29" customFormat="1" x14ac:dyDescent="0.15">
      <c r="B48" s="383">
        <v>8</v>
      </c>
      <c r="C48" s="383" t="s">
        <v>122</v>
      </c>
      <c r="D48" s="388">
        <f>IF(条件入力!$D$8="","",VLOOKUP(条件入力!$D$8,機械単価!$B$32:$AC$39,16,FALSE))</f>
        <v>63200</v>
      </c>
      <c r="G48" s="383" t="s">
        <v>96</v>
      </c>
      <c r="H48" s="391" t="str">
        <f>条件入力!P3</f>
        <v>B</v>
      </c>
      <c r="I48" s="384">
        <f>条件入力!O3</f>
        <v>2</v>
      </c>
      <c r="J48" s="392">
        <f>条件入力!M3</f>
        <v>100</v>
      </c>
    </row>
    <row r="49" spans="2:10" customFormat="1" x14ac:dyDescent="0.15">
      <c r="B49" s="383">
        <v>9</v>
      </c>
      <c r="C49" s="383" t="s">
        <v>128</v>
      </c>
      <c r="D49" s="388">
        <f>IF(条件入力!$D$8="","",VLOOKUP(条件入力!$D$8,機械単価!$B$32:$AC$39,19,FALSE))</f>
        <v>0</v>
      </c>
      <c r="G49" s="383" t="s">
        <v>103</v>
      </c>
      <c r="H49" s="391" t="str">
        <f>条件入力!P4</f>
        <v/>
      </c>
      <c r="I49" s="384">
        <f>条件入力!O4</f>
        <v>0</v>
      </c>
      <c r="J49" s="392">
        <f>条件入力!M4</f>
        <v>0</v>
      </c>
    </row>
    <row r="50" spans="2:10" customFormat="1" x14ac:dyDescent="0.15">
      <c r="B50" s="383">
        <v>10</v>
      </c>
      <c r="C50" s="383" t="s">
        <v>134</v>
      </c>
      <c r="D50" s="388">
        <f>IF(条件入力!$D$8="","",VLOOKUP(条件入力!$D$8,機械単価!$B$32:$AC$39,22,FALSE))</f>
        <v>0</v>
      </c>
      <c r="G50" s="383" t="s">
        <v>685</v>
      </c>
      <c r="H50" s="391" t="str">
        <f>条件入力!P5</f>
        <v/>
      </c>
      <c r="I50" s="384">
        <f>条件入力!O5</f>
        <v>0</v>
      </c>
      <c r="J50" s="392">
        <f>条件入力!M5</f>
        <v>0</v>
      </c>
    </row>
    <row r="51" spans="2:10" customFormat="1" x14ac:dyDescent="0.15">
      <c r="B51" s="383">
        <v>11</v>
      </c>
      <c r="C51" s="383" t="s">
        <v>140</v>
      </c>
      <c r="D51" s="388">
        <f>IF(条件入力!$D$8="","",VLOOKUP(条件入力!$D$8,機械単価!$B$32:$AC$39,25,FALSE))</f>
        <v>0</v>
      </c>
      <c r="G51" s="383" t="s">
        <v>686</v>
      </c>
      <c r="H51" s="391" t="str">
        <f>条件入力!P6</f>
        <v/>
      </c>
      <c r="I51" s="384">
        <f>条件入力!O6</f>
        <v>0</v>
      </c>
      <c r="J51" s="392">
        <f>条件入力!M6</f>
        <v>0</v>
      </c>
    </row>
    <row r="52" spans="2:10" customFormat="1" x14ac:dyDescent="0.15">
      <c r="B52" s="383">
        <v>12</v>
      </c>
      <c r="C52" s="383" t="s">
        <v>149</v>
      </c>
      <c r="D52" s="388">
        <f>IF(条件入力!$D$8="","",VLOOKUP(条件入力!$D$8,機械単価!$B$32:$AC$39,28,FALSE))</f>
        <v>0</v>
      </c>
      <c r="G52" s="383" t="s">
        <v>687</v>
      </c>
      <c r="H52" s="391" t="str">
        <f>条件入力!P7</f>
        <v/>
      </c>
      <c r="I52" s="384">
        <f>条件入力!O7</f>
        <v>0</v>
      </c>
      <c r="J52" s="392">
        <f>条件入力!M7</f>
        <v>0</v>
      </c>
    </row>
    <row r="53" spans="2:10" customFormat="1" x14ac:dyDescent="0.15">
      <c r="G53" s="383" t="s">
        <v>688</v>
      </c>
      <c r="H53" s="391" t="str">
        <f>条件入力!P8</f>
        <v/>
      </c>
      <c r="I53" s="384">
        <f>条件入力!O8</f>
        <v>0</v>
      </c>
      <c r="J53" s="392">
        <f>条件入力!M8</f>
        <v>0</v>
      </c>
    </row>
    <row r="54" spans="2:10" customFormat="1" x14ac:dyDescent="0.15">
      <c r="B54" t="s">
        <v>689</v>
      </c>
      <c r="G54" s="383" t="s">
        <v>690</v>
      </c>
      <c r="H54" s="391" t="str">
        <f>条件入力!P9</f>
        <v/>
      </c>
      <c r="I54" s="384">
        <f>条件入力!O9</f>
        <v>0</v>
      </c>
      <c r="J54" s="392">
        <f>条件入力!M9</f>
        <v>0</v>
      </c>
    </row>
    <row r="55" spans="2:10" customFormat="1" x14ac:dyDescent="0.15">
      <c r="B55" s="383">
        <v>4</v>
      </c>
      <c r="C55" s="383" t="s">
        <v>100</v>
      </c>
      <c r="D55" s="383">
        <f>DSUM(I47:J62,"推進延長",G44:G45)</f>
        <v>0</v>
      </c>
      <c r="F55" s="393"/>
      <c r="G55" s="383" t="s">
        <v>691</v>
      </c>
      <c r="H55" s="391" t="str">
        <f>条件入力!P10</f>
        <v/>
      </c>
      <c r="I55" s="384">
        <f>条件入力!O10</f>
        <v>0</v>
      </c>
      <c r="J55" s="392">
        <f>条件入力!M10</f>
        <v>0</v>
      </c>
    </row>
    <row r="56" spans="2:10" customFormat="1" x14ac:dyDescent="0.15">
      <c r="B56" s="383">
        <v>5</v>
      </c>
      <c r="C56" s="383" t="s">
        <v>104</v>
      </c>
      <c r="D56" s="383">
        <f>DSUM(I47:J62,"推進延長",H44:H45)</f>
        <v>0</v>
      </c>
      <c r="G56" s="383" t="s">
        <v>692</v>
      </c>
      <c r="H56" s="391" t="str">
        <f>条件入力!P11</f>
        <v/>
      </c>
      <c r="I56" s="384">
        <f>条件入力!O11</f>
        <v>0</v>
      </c>
      <c r="J56" s="392">
        <f>条件入力!M11</f>
        <v>0</v>
      </c>
    </row>
    <row r="57" spans="2:10" customFormat="1" x14ac:dyDescent="0.15">
      <c r="B57" s="383">
        <v>6</v>
      </c>
      <c r="C57" s="383" t="s">
        <v>110</v>
      </c>
      <c r="D57" s="383">
        <f>DSUM(I47:J62,"推進延長",I44:I45)</f>
        <v>0</v>
      </c>
      <c r="G57" s="383" t="s">
        <v>693</v>
      </c>
      <c r="H57" s="391" t="str">
        <f>条件入力!P12</f>
        <v/>
      </c>
      <c r="I57" s="384">
        <f>条件入力!O12</f>
        <v>0</v>
      </c>
      <c r="J57" s="392">
        <f>条件入力!M12</f>
        <v>0</v>
      </c>
    </row>
    <row r="58" spans="2:10" customFormat="1" x14ac:dyDescent="0.15">
      <c r="B58" s="383">
        <v>7</v>
      </c>
      <c r="C58" s="383" t="s">
        <v>114</v>
      </c>
      <c r="D58" s="383">
        <f>DSUM(I47:J62,"推進延長",J44:J45)</f>
        <v>0</v>
      </c>
      <c r="G58" s="383" t="s">
        <v>160</v>
      </c>
      <c r="H58" s="391" t="str">
        <f>条件入力!P13</f>
        <v/>
      </c>
      <c r="I58" s="384">
        <f>条件入力!O13</f>
        <v>0</v>
      </c>
      <c r="J58" s="392">
        <f>条件入力!M13</f>
        <v>0</v>
      </c>
    </row>
    <row r="59" spans="2:10" customFormat="1" x14ac:dyDescent="0.15">
      <c r="B59" s="383">
        <v>8</v>
      </c>
      <c r="C59" s="383" t="s">
        <v>122</v>
      </c>
      <c r="D59" s="383">
        <f>DSUM(I47:J62,"推進延長",K44:K45)</f>
        <v>0</v>
      </c>
      <c r="G59" s="383" t="s">
        <v>164</v>
      </c>
      <c r="H59" s="391" t="str">
        <f>条件入力!P14</f>
        <v/>
      </c>
      <c r="I59" s="384">
        <f>条件入力!O14</f>
        <v>0</v>
      </c>
      <c r="J59" s="392">
        <f>条件入力!M14</f>
        <v>0</v>
      </c>
    </row>
    <row r="60" spans="2:10" customFormat="1" x14ac:dyDescent="0.15">
      <c r="B60" s="383">
        <v>9</v>
      </c>
      <c r="C60" s="383" t="s">
        <v>128</v>
      </c>
      <c r="D60" s="383">
        <f>DSUM(I47:J62,"推進延長",L44:L45)</f>
        <v>0</v>
      </c>
      <c r="G60" s="383" t="s">
        <v>170</v>
      </c>
      <c r="H60" s="391" t="str">
        <f>条件入力!P15</f>
        <v/>
      </c>
      <c r="I60" s="384">
        <f>条件入力!O15</f>
        <v>0</v>
      </c>
      <c r="J60" s="392">
        <f>条件入力!M15</f>
        <v>0</v>
      </c>
    </row>
    <row r="61" spans="2:10" customFormat="1" x14ac:dyDescent="0.15">
      <c r="B61" s="383">
        <v>10</v>
      </c>
      <c r="C61" s="383" t="s">
        <v>134</v>
      </c>
      <c r="D61" s="383">
        <f>DSUM(I47:J62,"推進延長",M44:M45)</f>
        <v>0</v>
      </c>
      <c r="G61" s="383" t="s">
        <v>175</v>
      </c>
      <c r="H61" s="391" t="str">
        <f>条件入力!P16</f>
        <v/>
      </c>
      <c r="I61" s="384">
        <f>条件入力!O16</f>
        <v>0</v>
      </c>
      <c r="J61" s="392">
        <f>条件入力!M16</f>
        <v>0</v>
      </c>
    </row>
    <row r="62" spans="2:10" customFormat="1" x14ac:dyDescent="0.15">
      <c r="B62" s="383">
        <v>11</v>
      </c>
      <c r="C62" s="383" t="s">
        <v>140</v>
      </c>
      <c r="D62" s="383">
        <f>DSUM(I47:J62,"推進延長",N44:N45)</f>
        <v>0</v>
      </c>
      <c r="G62" s="383" t="s">
        <v>180</v>
      </c>
      <c r="H62" s="391" t="str">
        <f>条件入力!P17</f>
        <v/>
      </c>
      <c r="I62" s="384">
        <f>条件入力!O17</f>
        <v>0</v>
      </c>
      <c r="J62" s="392">
        <f>条件入力!M17</f>
        <v>0</v>
      </c>
    </row>
    <row r="63" spans="2:10" customFormat="1" x14ac:dyDescent="0.15">
      <c r="B63" s="383">
        <v>12</v>
      </c>
      <c r="C63" s="383" t="s">
        <v>149</v>
      </c>
      <c r="D63" s="383">
        <f>DSUM(I47:J62,"推進延長",O44:O45)</f>
        <v>0</v>
      </c>
    </row>
    <row r="64" spans="2:10" customFormat="1" x14ac:dyDescent="0.15"/>
    <row r="65" spans="3:8" customFormat="1" x14ac:dyDescent="0.15"/>
    <row r="66" spans="3:8" customFormat="1" x14ac:dyDescent="0.15"/>
    <row r="67" spans="3:8" customFormat="1" x14ac:dyDescent="0.15"/>
    <row r="68" spans="3:8" customFormat="1" x14ac:dyDescent="0.15">
      <c r="C68" t="s">
        <v>694</v>
      </c>
    </row>
    <row r="69" spans="3:8" customFormat="1" x14ac:dyDescent="0.15">
      <c r="C69" s="394" t="s">
        <v>695</v>
      </c>
      <c r="D69" s="394" t="s">
        <v>696</v>
      </c>
      <c r="E69" s="395" t="s">
        <v>695</v>
      </c>
      <c r="F69" s="394" t="s">
        <v>696</v>
      </c>
      <c r="G69" s="395" t="s">
        <v>695</v>
      </c>
      <c r="H69" s="394" t="s">
        <v>696</v>
      </c>
    </row>
    <row r="70" spans="3:8" customFormat="1" x14ac:dyDescent="0.15">
      <c r="C70" s="396" t="s">
        <v>697</v>
      </c>
      <c r="D70" s="397">
        <v>37000</v>
      </c>
      <c r="E70" s="398" t="s">
        <v>698</v>
      </c>
      <c r="F70" s="397">
        <v>600</v>
      </c>
      <c r="G70" s="396"/>
      <c r="H70" s="397"/>
    </row>
    <row r="71" spans="3:8" customFormat="1" x14ac:dyDescent="0.15">
      <c r="C71" s="396" t="s">
        <v>699</v>
      </c>
      <c r="D71" s="397">
        <v>41000</v>
      </c>
      <c r="E71" s="398" t="s">
        <v>700</v>
      </c>
      <c r="F71" s="397">
        <v>1000</v>
      </c>
      <c r="G71" s="396"/>
      <c r="H71" s="397"/>
    </row>
    <row r="72" spans="3:8" customFormat="1" x14ac:dyDescent="0.15">
      <c r="C72" s="396" t="s">
        <v>701</v>
      </c>
      <c r="D72" s="397">
        <v>44000</v>
      </c>
      <c r="E72" s="398" t="s">
        <v>702</v>
      </c>
      <c r="F72" s="397">
        <v>3000</v>
      </c>
      <c r="G72" s="396"/>
      <c r="H72" s="397"/>
    </row>
    <row r="73" spans="3:8" customFormat="1" x14ac:dyDescent="0.15">
      <c r="C73" s="396" t="s">
        <v>703</v>
      </c>
      <c r="D73" s="397">
        <v>45000</v>
      </c>
      <c r="E73" s="398" t="s">
        <v>704</v>
      </c>
      <c r="F73" s="397">
        <v>450</v>
      </c>
      <c r="G73" s="396"/>
      <c r="H73" s="397"/>
    </row>
    <row r="74" spans="3:8" customFormat="1" x14ac:dyDescent="0.15">
      <c r="C74" s="396" t="s">
        <v>705</v>
      </c>
      <c r="D74" s="397">
        <v>50000</v>
      </c>
      <c r="E74" s="398" t="s">
        <v>706</v>
      </c>
      <c r="F74" s="397">
        <v>2050</v>
      </c>
      <c r="G74" s="396"/>
      <c r="H74" s="397"/>
    </row>
    <row r="75" spans="3:8" customFormat="1" x14ac:dyDescent="0.15">
      <c r="C75" s="396" t="s">
        <v>707</v>
      </c>
      <c r="D75" s="397">
        <v>70000</v>
      </c>
      <c r="E75" s="398" t="s">
        <v>708</v>
      </c>
      <c r="F75" s="397">
        <v>21</v>
      </c>
      <c r="G75" s="396" t="s">
        <v>709</v>
      </c>
      <c r="H75" s="397">
        <v>42000</v>
      </c>
    </row>
    <row r="76" spans="3:8" customFormat="1" x14ac:dyDescent="0.15">
      <c r="C76" s="396" t="s">
        <v>710</v>
      </c>
      <c r="D76" s="397">
        <v>95400</v>
      </c>
      <c r="E76" s="398" t="s">
        <v>711</v>
      </c>
      <c r="F76" s="397">
        <v>22</v>
      </c>
      <c r="G76" s="396" t="s">
        <v>712</v>
      </c>
      <c r="H76" s="397">
        <v>3350</v>
      </c>
    </row>
    <row r="77" spans="3:8" customFormat="1" x14ac:dyDescent="0.15">
      <c r="C77" s="396" t="s">
        <v>713</v>
      </c>
      <c r="D77" s="397">
        <v>205000</v>
      </c>
      <c r="E77" s="398" t="s">
        <v>714</v>
      </c>
      <c r="F77" s="397">
        <v>0</v>
      </c>
      <c r="G77" s="396" t="s">
        <v>715</v>
      </c>
      <c r="H77" s="397">
        <v>3350</v>
      </c>
    </row>
    <row r="78" spans="3:8" customFormat="1" x14ac:dyDescent="0.15">
      <c r="C78" s="396" t="s">
        <v>716</v>
      </c>
      <c r="D78" s="397">
        <v>273000</v>
      </c>
      <c r="E78" s="398" t="s">
        <v>717</v>
      </c>
      <c r="F78" s="397">
        <v>9</v>
      </c>
      <c r="G78" s="396" t="s">
        <v>718</v>
      </c>
      <c r="H78" s="397">
        <v>320</v>
      </c>
    </row>
    <row r="79" spans="3:8" customFormat="1" x14ac:dyDescent="0.15">
      <c r="C79" s="396" t="s">
        <v>719</v>
      </c>
      <c r="D79" s="397">
        <v>373000</v>
      </c>
      <c r="E79" s="398" t="s">
        <v>720</v>
      </c>
      <c r="F79" s="397">
        <v>0</v>
      </c>
      <c r="G79" s="396" t="s">
        <v>721</v>
      </c>
      <c r="H79" s="397">
        <v>290</v>
      </c>
    </row>
    <row r="80" spans="3:8" customFormat="1" x14ac:dyDescent="0.15">
      <c r="C80" s="396" t="s">
        <v>722</v>
      </c>
      <c r="D80" s="397">
        <v>919</v>
      </c>
      <c r="E80" s="398" t="s">
        <v>723</v>
      </c>
      <c r="F80" s="397">
        <v>50</v>
      </c>
      <c r="G80" s="396" t="s">
        <v>724</v>
      </c>
      <c r="H80" s="397">
        <v>1090</v>
      </c>
    </row>
    <row r="81" spans="3:8" customFormat="1" x14ac:dyDescent="0.15">
      <c r="C81" s="396" t="s">
        <v>725</v>
      </c>
      <c r="D81" s="397">
        <v>1320</v>
      </c>
      <c r="E81" s="396" t="s">
        <v>726</v>
      </c>
      <c r="F81" s="397">
        <v>510</v>
      </c>
      <c r="G81" s="396" t="s">
        <v>727</v>
      </c>
      <c r="H81" s="397">
        <v>70</v>
      </c>
    </row>
    <row r="82" spans="3:8" customFormat="1" x14ac:dyDescent="0.15">
      <c r="C82" s="396" t="s">
        <v>728</v>
      </c>
      <c r="D82" s="397">
        <v>2200</v>
      </c>
      <c r="E82" s="398" t="s">
        <v>729</v>
      </c>
      <c r="F82" s="397">
        <v>218</v>
      </c>
      <c r="G82" s="396" t="s">
        <v>730</v>
      </c>
      <c r="H82" s="397">
        <v>13</v>
      </c>
    </row>
    <row r="83" spans="3:8" customFormat="1" x14ac:dyDescent="0.15">
      <c r="C83" s="396" t="s">
        <v>731</v>
      </c>
      <c r="D83" s="397">
        <v>2350</v>
      </c>
      <c r="E83" s="398" t="s">
        <v>732</v>
      </c>
      <c r="F83" s="397">
        <v>250</v>
      </c>
      <c r="G83" s="396" t="s">
        <v>733</v>
      </c>
      <c r="H83" s="397">
        <v>150000</v>
      </c>
    </row>
    <row r="84" spans="3:8" customFormat="1" x14ac:dyDescent="0.15">
      <c r="C84" s="396" t="s">
        <v>734</v>
      </c>
      <c r="D84" s="397">
        <v>2640</v>
      </c>
      <c r="E84" s="398" t="s">
        <v>735</v>
      </c>
      <c r="F84" s="397">
        <v>200</v>
      </c>
      <c r="G84" s="396" t="s">
        <v>736</v>
      </c>
      <c r="H84" s="397">
        <v>100000</v>
      </c>
    </row>
    <row r="85" spans="3:8" customFormat="1" x14ac:dyDescent="0.15">
      <c r="C85" s="396" t="s">
        <v>737</v>
      </c>
      <c r="D85" s="397">
        <v>2200</v>
      </c>
      <c r="E85" s="396" t="s">
        <v>555</v>
      </c>
      <c r="F85" s="397">
        <v>37900</v>
      </c>
      <c r="G85" s="396" t="s">
        <v>738</v>
      </c>
      <c r="H85" s="397">
        <v>80000</v>
      </c>
    </row>
    <row r="86" spans="3:8" customFormat="1" x14ac:dyDescent="0.15">
      <c r="C86" s="396" t="s">
        <v>739</v>
      </c>
      <c r="D86" s="397">
        <v>4800</v>
      </c>
      <c r="E86" s="396" t="s">
        <v>556</v>
      </c>
      <c r="F86" s="397">
        <v>500</v>
      </c>
      <c r="G86" s="396" t="s">
        <v>740</v>
      </c>
      <c r="H86" s="397">
        <v>100000</v>
      </c>
    </row>
    <row r="87" spans="3:8" customFormat="1" x14ac:dyDescent="0.15">
      <c r="C87" s="20"/>
      <c r="D87" s="20"/>
      <c r="E87" s="396" t="s">
        <v>231</v>
      </c>
      <c r="F87" s="397"/>
      <c r="G87" s="396" t="s">
        <v>741</v>
      </c>
      <c r="H87" s="399">
        <v>80000</v>
      </c>
    </row>
    <row r="88" spans="3:8" customFormat="1" x14ac:dyDescent="0.15"/>
  </sheetData>
  <mergeCells count="17">
    <mergeCell ref="C4:E4"/>
    <mergeCell ref="F4:H4"/>
    <mergeCell ref="I4:K4"/>
    <mergeCell ref="L4:N4"/>
    <mergeCell ref="R30:T30"/>
    <mergeCell ref="S4:S5"/>
    <mergeCell ref="T4:T5"/>
    <mergeCell ref="Q4:Q5"/>
    <mergeCell ref="R4:R5"/>
    <mergeCell ref="AA30:AC30"/>
    <mergeCell ref="O30:Q30"/>
    <mergeCell ref="C30:E30"/>
    <mergeCell ref="F30:H30"/>
    <mergeCell ref="I30:K30"/>
    <mergeCell ref="L30:N30"/>
    <mergeCell ref="U30:W30"/>
    <mergeCell ref="X30:Z30"/>
  </mergeCells>
  <phoneticPr fontId="2"/>
  <pageMargins left="0.75" right="0.75" top="1" bottom="1"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32F5B-BA43-4FF4-A24A-03BB0B3CE6B0}">
  <sheetPr codeName="Sheet3"/>
  <dimension ref="A1:X375"/>
  <sheetViews>
    <sheetView topLeftCell="A253" workbookViewId="0">
      <selection activeCell="R16" sqref="R16"/>
    </sheetView>
  </sheetViews>
  <sheetFormatPr defaultColWidth="9" defaultRowHeight="13.5" x14ac:dyDescent="0.15"/>
  <cols>
    <col min="1" max="1" width="2.25" style="181" customWidth="1"/>
    <col min="2" max="2" width="8.375" style="181" customWidth="1"/>
    <col min="3" max="3" width="7.375" style="181" customWidth="1"/>
    <col min="4" max="4" width="7.875" style="181" customWidth="1"/>
    <col min="5" max="5" width="8.375" style="181" customWidth="1"/>
    <col min="6" max="6" width="8.25" style="181" customWidth="1"/>
    <col min="7" max="7" width="9.75" style="181" customWidth="1"/>
    <col min="8" max="8" width="8.25" style="181" customWidth="1"/>
    <col min="9" max="9" width="8.375" style="181" customWidth="1"/>
    <col min="10" max="10" width="8.25" style="181" customWidth="1"/>
    <col min="11" max="16384" width="9" style="181"/>
  </cols>
  <sheetData>
    <row r="1" spans="1:24" x14ac:dyDescent="0.15">
      <c r="A1" s="241"/>
      <c r="B1" s="241"/>
      <c r="C1" s="241"/>
      <c r="D1" s="242"/>
      <c r="E1" s="242"/>
      <c r="F1" s="242"/>
      <c r="G1" s="242"/>
      <c r="H1" s="241"/>
      <c r="I1" s="241"/>
      <c r="J1" s="241"/>
      <c r="K1" s="243"/>
      <c r="L1" s="244"/>
      <c r="M1" s="245"/>
      <c r="N1" s="245"/>
      <c r="O1" s="245"/>
      <c r="P1" s="245"/>
      <c r="Q1" s="245"/>
      <c r="R1" s="245"/>
      <c r="S1" s="245"/>
      <c r="T1" s="245"/>
      <c r="U1" s="245"/>
      <c r="V1" s="245"/>
      <c r="W1" s="245"/>
      <c r="X1" s="241"/>
    </row>
    <row r="2" spans="1:24" ht="14.25" x14ac:dyDescent="0.15">
      <c r="A2" s="246" t="s">
        <v>742</v>
      </c>
      <c r="B2" s="241"/>
      <c r="C2" s="242"/>
      <c r="D2" s="242"/>
      <c r="E2" s="242"/>
      <c r="F2" s="242"/>
      <c r="G2" s="241"/>
      <c r="H2" s="241"/>
      <c r="I2" s="241"/>
      <c r="J2" s="243"/>
      <c r="K2" s="244"/>
      <c r="L2" s="245"/>
      <c r="M2" s="245"/>
      <c r="N2" s="245"/>
      <c r="O2" s="245"/>
      <c r="P2" s="245"/>
      <c r="Q2" s="245"/>
      <c r="R2" s="245"/>
      <c r="S2" s="245"/>
      <c r="T2" s="245"/>
      <c r="U2" s="245"/>
      <c r="V2" s="245"/>
      <c r="W2" s="245"/>
      <c r="X2" s="241"/>
    </row>
    <row r="3" spans="1:24" x14ac:dyDescent="0.15">
      <c r="A3" s="241"/>
      <c r="B3" s="241"/>
      <c r="C3" s="242"/>
      <c r="D3" s="242"/>
      <c r="E3" s="242"/>
      <c r="F3" s="242"/>
      <c r="G3" s="241"/>
      <c r="H3" s="241"/>
      <c r="I3" s="241"/>
      <c r="J3" s="243"/>
      <c r="K3" s="244"/>
      <c r="L3" s="245"/>
      <c r="M3" s="245"/>
      <c r="N3" s="245"/>
      <c r="O3" s="245"/>
      <c r="P3" s="245"/>
      <c r="Q3" s="245"/>
      <c r="R3" s="245"/>
      <c r="S3" s="245"/>
      <c r="T3" s="245"/>
      <c r="U3" s="245"/>
      <c r="V3" s="245"/>
      <c r="W3" s="245"/>
      <c r="X3" s="241"/>
    </row>
    <row r="4" spans="1:24" x14ac:dyDescent="0.15">
      <c r="A4" s="241"/>
      <c r="B4" s="241"/>
      <c r="C4" s="242"/>
      <c r="D4" s="242"/>
      <c r="E4" s="242"/>
      <c r="F4" s="242"/>
      <c r="G4" s="241"/>
      <c r="H4" s="241"/>
      <c r="I4" s="241"/>
      <c r="J4" s="243"/>
      <c r="K4" s="244"/>
      <c r="L4" s="245"/>
      <c r="M4" s="245"/>
      <c r="N4" s="245"/>
      <c r="O4" s="245"/>
      <c r="P4" s="245"/>
      <c r="Q4" s="245"/>
      <c r="R4" s="245"/>
      <c r="S4" s="245"/>
      <c r="T4" s="245"/>
      <c r="U4" s="245"/>
      <c r="V4" s="245"/>
      <c r="W4" s="245"/>
      <c r="X4" s="241"/>
    </row>
    <row r="5" spans="1:24" x14ac:dyDescent="0.15">
      <c r="A5" s="247" t="s">
        <v>743</v>
      </c>
      <c r="B5" s="247"/>
      <c r="C5" s="182"/>
      <c r="D5" s="182"/>
      <c r="E5" s="182"/>
      <c r="F5" s="182"/>
      <c r="G5" s="247"/>
      <c r="H5" s="247"/>
      <c r="I5" s="247"/>
      <c r="J5" s="248"/>
      <c r="K5" s="244"/>
      <c r="L5" s="245"/>
      <c r="M5" s="247"/>
    </row>
    <row r="6" spans="1:24" x14ac:dyDescent="0.15">
      <c r="A6" s="247"/>
      <c r="B6" s="247"/>
      <c r="C6" s="182"/>
      <c r="D6" s="470"/>
      <c r="E6" s="470"/>
      <c r="F6" s="470"/>
      <c r="G6" s="247"/>
      <c r="H6" s="249"/>
      <c r="I6" s="247"/>
      <c r="J6" s="248"/>
      <c r="K6" s="244"/>
      <c r="L6" s="245"/>
      <c r="M6" s="247"/>
    </row>
    <row r="7" spans="1:24" x14ac:dyDescent="0.15">
      <c r="A7" s="247"/>
      <c r="B7" s="247" t="s">
        <v>744</v>
      </c>
      <c r="C7" s="245"/>
      <c r="D7" s="182" t="s">
        <v>745</v>
      </c>
      <c r="E7" s="470" t="s">
        <v>746</v>
      </c>
      <c r="F7" s="470"/>
      <c r="G7" s="250">
        <f>条件入力!D8</f>
        <v>400</v>
      </c>
      <c r="H7" s="251" t="s">
        <v>747</v>
      </c>
      <c r="I7" s="247"/>
      <c r="J7" s="252"/>
      <c r="K7" s="253"/>
      <c r="L7" s="245"/>
      <c r="M7" s="247"/>
    </row>
    <row r="8" spans="1:24" x14ac:dyDescent="0.15">
      <c r="A8" s="247"/>
      <c r="B8" s="247"/>
      <c r="C8" s="245"/>
      <c r="D8" s="182"/>
      <c r="E8" s="470"/>
      <c r="F8" s="470"/>
      <c r="G8" s="254"/>
      <c r="H8" s="251"/>
      <c r="I8" s="247"/>
      <c r="J8" s="252"/>
      <c r="K8" s="253"/>
      <c r="L8" s="245"/>
      <c r="M8" s="247"/>
    </row>
    <row r="9" spans="1:24" x14ac:dyDescent="0.15">
      <c r="A9" s="247"/>
      <c r="B9" s="247" t="s">
        <v>748</v>
      </c>
      <c r="C9" s="245"/>
      <c r="D9" s="182" t="s">
        <v>745</v>
      </c>
      <c r="E9" s="182" t="s">
        <v>749</v>
      </c>
      <c r="F9" s="182"/>
      <c r="G9" s="255">
        <f>条件入力!M18</f>
        <v>100</v>
      </c>
      <c r="H9" s="251" t="s">
        <v>132</v>
      </c>
      <c r="I9" s="247"/>
      <c r="J9" s="252"/>
      <c r="K9" s="253"/>
      <c r="L9" s="245"/>
      <c r="M9" s="247"/>
    </row>
    <row r="10" spans="1:24" x14ac:dyDescent="0.15">
      <c r="A10" s="247"/>
      <c r="B10" s="247"/>
      <c r="C10" s="245"/>
      <c r="D10" s="182"/>
      <c r="E10" s="182"/>
      <c r="F10" s="182"/>
      <c r="G10" s="182"/>
      <c r="H10" s="182"/>
      <c r="I10" s="247"/>
      <c r="J10" s="252"/>
      <c r="K10" s="253"/>
      <c r="L10" s="245"/>
      <c r="M10" s="247"/>
    </row>
    <row r="11" spans="1:24" x14ac:dyDescent="0.15">
      <c r="A11" s="247"/>
      <c r="B11" s="256" t="s">
        <v>750</v>
      </c>
      <c r="C11" s="245"/>
      <c r="D11" s="182" t="s">
        <v>745</v>
      </c>
      <c r="E11" s="182" t="s">
        <v>751</v>
      </c>
      <c r="F11" s="182"/>
      <c r="G11" s="255">
        <f>MAX(条件入力!M3:'条件入力'!M17)</f>
        <v>100</v>
      </c>
      <c r="H11" s="251" t="s">
        <v>132</v>
      </c>
      <c r="I11" s="247"/>
      <c r="J11" s="252"/>
      <c r="K11" s="253"/>
      <c r="L11" s="245"/>
      <c r="M11" s="247"/>
    </row>
    <row r="12" spans="1:24" x14ac:dyDescent="0.15">
      <c r="A12" s="247"/>
      <c r="B12" s="247"/>
      <c r="C12" s="245"/>
      <c r="D12" s="182"/>
      <c r="E12" s="182"/>
      <c r="F12" s="182"/>
      <c r="G12" s="182"/>
      <c r="H12" s="182"/>
      <c r="I12" s="247"/>
      <c r="J12" s="252"/>
      <c r="K12" s="253"/>
      <c r="L12" s="245"/>
      <c r="M12" s="247"/>
    </row>
    <row r="13" spans="1:24" x14ac:dyDescent="0.15">
      <c r="A13" s="247"/>
      <c r="B13" s="247" t="s">
        <v>752</v>
      </c>
      <c r="C13" s="245"/>
      <c r="D13" s="182" t="s">
        <v>745</v>
      </c>
      <c r="E13" s="182" t="s">
        <v>753</v>
      </c>
      <c r="F13" s="182"/>
      <c r="G13" s="257">
        <f>条件入力!T21</f>
        <v>1</v>
      </c>
      <c r="H13" s="182"/>
      <c r="I13" s="247"/>
      <c r="J13" s="252"/>
      <c r="K13" s="253"/>
      <c r="L13" s="245"/>
      <c r="M13" s="247"/>
    </row>
    <row r="14" spans="1:24" x14ac:dyDescent="0.15">
      <c r="A14" s="247"/>
      <c r="B14" s="226"/>
      <c r="C14" s="245"/>
      <c r="D14" s="226"/>
      <c r="E14" s="226"/>
      <c r="F14" s="226"/>
      <c r="G14" s="470"/>
      <c r="H14" s="226"/>
      <c r="I14" s="247"/>
      <c r="J14" s="252"/>
      <c r="K14" s="253"/>
      <c r="L14" s="245"/>
      <c r="M14" s="247"/>
    </row>
    <row r="15" spans="1:24" x14ac:dyDescent="0.15">
      <c r="A15" s="247"/>
      <c r="B15" s="247" t="s">
        <v>754</v>
      </c>
      <c r="C15" s="245"/>
      <c r="D15" s="182" t="s">
        <v>745</v>
      </c>
      <c r="E15" s="470"/>
      <c r="F15" s="470"/>
      <c r="G15" s="182" t="s">
        <v>755</v>
      </c>
      <c r="H15" s="226"/>
      <c r="I15" s="247"/>
      <c r="J15" s="252"/>
      <c r="K15" s="253"/>
      <c r="L15" s="245"/>
      <c r="M15" s="247"/>
    </row>
    <row r="16" spans="1:24" x14ac:dyDescent="0.15">
      <c r="A16" s="247"/>
      <c r="B16" s="226"/>
      <c r="C16" s="226"/>
      <c r="D16" s="226"/>
      <c r="E16" s="226"/>
      <c r="F16" s="226"/>
      <c r="G16" s="470"/>
      <c r="H16" s="226"/>
      <c r="I16" s="247"/>
      <c r="J16" s="252"/>
      <c r="K16" s="253"/>
      <c r="L16" s="245"/>
      <c r="M16" s="247"/>
    </row>
    <row r="17" spans="1:24" x14ac:dyDescent="0.15">
      <c r="A17" s="247"/>
      <c r="B17" s="226"/>
      <c r="C17" s="226"/>
      <c r="D17" s="226"/>
      <c r="E17" s="226"/>
      <c r="F17" s="226"/>
      <c r="G17" s="470"/>
      <c r="H17" s="226"/>
      <c r="I17" s="247"/>
      <c r="J17" s="252"/>
      <c r="K17" s="253"/>
      <c r="L17" s="245"/>
      <c r="M17" s="247"/>
    </row>
    <row r="18" spans="1:24" x14ac:dyDescent="0.15">
      <c r="A18" s="247" t="s">
        <v>756</v>
      </c>
      <c r="B18" s="247"/>
      <c r="C18" s="182"/>
      <c r="D18" s="182"/>
      <c r="E18" s="182"/>
      <c r="F18" s="182"/>
      <c r="G18" s="182"/>
      <c r="H18" s="182"/>
      <c r="I18" s="247"/>
      <c r="J18" s="252"/>
      <c r="K18" s="253"/>
      <c r="L18" s="245"/>
      <c r="M18" s="247"/>
    </row>
    <row r="19" spans="1:24" x14ac:dyDescent="0.15">
      <c r="A19" s="247"/>
      <c r="B19" s="247"/>
      <c r="C19" s="182"/>
      <c r="D19" s="182"/>
      <c r="E19" s="182"/>
      <c r="F19" s="182"/>
      <c r="G19" s="182"/>
      <c r="H19" s="182"/>
      <c r="I19" s="226"/>
      <c r="J19" s="252"/>
      <c r="K19" s="253"/>
      <c r="L19" s="245"/>
      <c r="M19" s="247"/>
    </row>
    <row r="20" spans="1:24" x14ac:dyDescent="0.15">
      <c r="A20" s="247"/>
      <c r="B20" s="247" t="s">
        <v>757</v>
      </c>
      <c r="C20" s="245"/>
      <c r="D20" s="182" t="s">
        <v>745</v>
      </c>
      <c r="E20" s="182" t="s">
        <v>758</v>
      </c>
      <c r="F20" s="182"/>
      <c r="G20" s="258">
        <f>MAX(M20:P20)</f>
        <v>550</v>
      </c>
      <c r="H20" s="251" t="s">
        <v>747</v>
      </c>
      <c r="I20" s="247"/>
      <c r="J20" s="252"/>
      <c r="K20" s="253"/>
      <c r="L20" s="245"/>
      <c r="M20" s="259">
        <f>IF(G7=250,384,IF(G7=300,432,IF(G7=350,490,IF(G7=400,550,IF(G7=450,600,"")))))</f>
        <v>550</v>
      </c>
      <c r="N20" s="259" t="str">
        <f>IF(G7=500,672,IF(G7=600,790,IF(G7=700,910,IF(G7=800,990,IF(G7=900,1110,"")))))</f>
        <v/>
      </c>
      <c r="O20" s="259" t="str">
        <f>IF(G7=1000,1230,IF(G7=1100,1340,IF(G7=1200,1460,IF(G7=1350,1630,IF(G7=1500,1810,"")))))</f>
        <v/>
      </c>
      <c r="P20" s="259" t="str">
        <f>IF(G7=1650,1980,IF(G7=1800,2150,IF(G7=2000,2375,IF(G7=2200,2610,IF(G7=2400,2840,"")))))</f>
        <v/>
      </c>
    </row>
    <row r="21" spans="1:24" ht="15.75" x14ac:dyDescent="0.15">
      <c r="A21" s="247"/>
      <c r="B21" s="247" t="s">
        <v>759</v>
      </c>
      <c r="C21" s="245"/>
      <c r="D21" s="182" t="s">
        <v>745</v>
      </c>
      <c r="E21" s="182" t="s">
        <v>243</v>
      </c>
      <c r="F21" s="182"/>
      <c r="G21" s="248">
        <f>(G20/1000)^2*PI()/4</f>
        <v>0.23758294442772815</v>
      </c>
      <c r="H21" s="251" t="s">
        <v>760</v>
      </c>
      <c r="I21" s="247"/>
      <c r="J21" s="252"/>
      <c r="K21" s="253"/>
      <c r="L21" s="245"/>
      <c r="M21" s="247"/>
    </row>
    <row r="22" spans="1:24" ht="15.75" x14ac:dyDescent="0.15">
      <c r="A22" s="247"/>
      <c r="B22" s="247" t="s">
        <v>761</v>
      </c>
      <c r="C22" s="245"/>
      <c r="D22" s="182" t="s">
        <v>745</v>
      </c>
      <c r="E22" s="182" t="s">
        <v>762</v>
      </c>
      <c r="F22" s="182"/>
      <c r="G22" s="248">
        <f>G21*G23</f>
        <v>0.57732655495937946</v>
      </c>
      <c r="H22" s="251" t="s">
        <v>763</v>
      </c>
      <c r="I22" s="247"/>
      <c r="J22" s="252"/>
      <c r="K22" s="253"/>
      <c r="L22" s="245"/>
      <c r="M22" s="247"/>
    </row>
    <row r="23" spans="1:24" x14ac:dyDescent="0.15">
      <c r="A23" s="247"/>
      <c r="B23" s="247" t="s">
        <v>764</v>
      </c>
      <c r="C23" s="245"/>
      <c r="D23" s="182" t="s">
        <v>745</v>
      </c>
      <c r="E23" s="182" t="s">
        <v>765</v>
      </c>
      <c r="F23" s="182"/>
      <c r="G23" s="250">
        <f>IF(条件入力!D8&gt;=350,IF(条件入力!D18&gt;1,2.43,1.2),IF(条件入力!D18&gt;1,2,1))</f>
        <v>2.4300000000000002</v>
      </c>
      <c r="H23" s="251" t="s">
        <v>766</v>
      </c>
      <c r="I23" s="247"/>
      <c r="J23" s="252"/>
      <c r="K23" s="253"/>
      <c r="L23" s="245"/>
      <c r="M23" s="247"/>
    </row>
    <row r="24" spans="1:24" x14ac:dyDescent="0.15">
      <c r="A24" s="247"/>
      <c r="B24" s="247" t="s">
        <v>767</v>
      </c>
      <c r="C24" s="245"/>
      <c r="D24" s="182" t="s">
        <v>745</v>
      </c>
      <c r="E24" s="182" t="s">
        <v>768</v>
      </c>
      <c r="F24" s="182"/>
      <c r="G24" s="255">
        <f>IF(条件入力!D16=1,10,IF(条件入力!D16=2,1.3,IF(条件入力!D16=3,1.1,1.4)))</f>
        <v>10</v>
      </c>
      <c r="H24" s="251" t="s">
        <v>769</v>
      </c>
      <c r="I24" s="247"/>
      <c r="J24" s="252"/>
      <c r="K24" s="253"/>
      <c r="L24" s="245"/>
      <c r="M24" s="260"/>
      <c r="N24" s="260"/>
      <c r="O24" s="259"/>
      <c r="P24" s="260"/>
      <c r="Q24" s="260"/>
      <c r="R24" s="260"/>
      <c r="S24" s="260"/>
      <c r="T24" s="260"/>
      <c r="U24" s="260"/>
      <c r="V24" s="260"/>
      <c r="W24" s="260"/>
    </row>
    <row r="25" spans="1:24" x14ac:dyDescent="0.15">
      <c r="A25" s="247"/>
      <c r="B25" s="247" t="s">
        <v>770</v>
      </c>
      <c r="C25" s="245"/>
      <c r="D25" s="182" t="s">
        <v>745</v>
      </c>
      <c r="E25" s="182" t="s">
        <v>771</v>
      </c>
      <c r="F25" s="182"/>
      <c r="G25" s="261">
        <f>(G23*100)/G24</f>
        <v>24.300000000000004</v>
      </c>
      <c r="H25" s="251" t="s">
        <v>772</v>
      </c>
      <c r="I25" s="247"/>
      <c r="J25" s="252"/>
      <c r="K25" s="253"/>
      <c r="L25" s="245"/>
      <c r="M25" s="247"/>
    </row>
    <row r="26" spans="1:24" x14ac:dyDescent="0.15">
      <c r="A26" s="247"/>
      <c r="B26" s="247" t="s">
        <v>773</v>
      </c>
      <c r="C26" s="245"/>
      <c r="D26" s="182" t="s">
        <v>745</v>
      </c>
      <c r="E26" s="182" t="s">
        <v>774</v>
      </c>
      <c r="F26" s="182"/>
      <c r="G26" s="262">
        <v>8</v>
      </c>
      <c r="H26" s="251" t="s">
        <v>775</v>
      </c>
      <c r="I26" s="247"/>
      <c r="J26" s="252"/>
      <c r="K26" s="253"/>
      <c r="L26" s="245"/>
      <c r="M26" s="263" t="s">
        <v>776</v>
      </c>
      <c r="N26" s="264"/>
      <c r="O26" s="263" t="s">
        <v>777</v>
      </c>
      <c r="P26" s="264"/>
      <c r="Q26" s="263" t="s">
        <v>778</v>
      </c>
      <c r="R26" s="264"/>
      <c r="S26" s="263" t="s">
        <v>779</v>
      </c>
      <c r="T26" s="264"/>
    </row>
    <row r="27" spans="1:24" x14ac:dyDescent="0.15">
      <c r="A27" s="247"/>
      <c r="B27" s="247" t="s">
        <v>780</v>
      </c>
      <c r="C27" s="245"/>
      <c r="D27" s="182" t="s">
        <v>745</v>
      </c>
      <c r="E27" s="182"/>
      <c r="F27" s="182"/>
      <c r="G27" s="265">
        <f>条件入力!L25/IF(条件入力!D18=1,IF(条件入力!D8&lt;=300,1,1.2),IF(条件入力!D8&lt;=300,2,2.43))</f>
        <v>2.9394473838918285</v>
      </c>
      <c r="H27" s="251" t="s">
        <v>781</v>
      </c>
      <c r="I27" s="247"/>
      <c r="J27" s="252"/>
      <c r="K27" s="253"/>
      <c r="L27" s="245"/>
      <c r="M27" s="326" t="str">
        <f>IF(AND(G7&lt;350,C22=1),4.57,IF(AND(G7&lt;600,C22=1),4.25,IF(AND(G7&lt;800,C22=1),3.2,IF(AND(G7&lt;1100,C22=1),2.76,IF(AND(G7&lt;1350,C22=1),2.67,IF(AND(G7&lt;1650,C22=1),2.58,""))))))</f>
        <v/>
      </c>
      <c r="N27" s="326" t="str">
        <f>IF(AND(G7=1650,C22=1),2.5,IF(AND(G7=1800,C22=1),2.42,IF(AND(G7=2000,C22=1),2.35,IF(AND(G7=2200,C22=1),2.22,IF(AND(G7&gt;2200,C22=1),2.11,"")))))</f>
        <v/>
      </c>
      <c r="O27" s="326" t="str">
        <f>IF(AND(G7&lt;350,C22=6),2.42,IF(AND(G7&lt;600,C22=6),2.15,IF(AND(G7&lt;800,C22=6),1.74,IF(AND(G7&lt;1100,C22=6),1.54,IF(AND(G7&lt;1350,C22=6),1.51,IF(AND(G7&lt;1650,C22=6),1.4,""))))))</f>
        <v/>
      </c>
      <c r="P27" s="326" t="str">
        <f>IF(AND(G7=1650,C22=6),1.38,IF(AND(G7=1800,C22=6),1.29,IF(AND(G7=2000,C22=6),1.27,IF(AND(G7=2200,C22=6),1.18,IF(AND(G7&gt;2200,C22=6),1.14,"")))))</f>
        <v/>
      </c>
      <c r="Q27" s="326" t="str">
        <f>IF(AND(G7&lt;350,C22=2),3.27,IF(AND(G7&lt;600,C22=2),2.98,IF(AND(G7&lt;800,C22=2),2.58,IF(AND(G7&lt;1100,C22=2),2.29,IF(AND(G7&lt;1350,C22=2),2.22,IF(AND(G7&lt;1650,C22=2),2.11,""))))))</f>
        <v/>
      </c>
      <c r="R27" s="326" t="str">
        <f>IF(AND(G7=1650,C22=2),2.05,IF(AND(G7=1800,C22=2),1.95,IF(AND(G7=2000,C22=2),1.9,IF(AND(G7=2200,C22=2),1.82,IF(AND(G7&gt;2200,C22=2),1.74,"")))))</f>
        <v/>
      </c>
      <c r="S27" s="259" t="str">
        <f>IF(AND(G7&lt;350,OR(C22=3,C22=4,C22=5)),2.05,IF(AND(G7&lt;600,OR(C22=3,C22=4,C22=5)),1.8,IF(AND(G7&lt;800,OR(C22=3,C22=4,C22=5)),1.57,IF(AND(G7&lt;1100,OR(C22=3,C22=4,C22=5)),1.45,IF(AND(G7&lt;1350,OR(C22=3,C22=4,C22=5)),1.43,IF(AND(G7&lt;1650,OR(C22=3,C22=4,C22=5)),1.27,""))))))</f>
        <v/>
      </c>
      <c r="T27" s="259" t="str">
        <f>IF(AND(G7=1650,OR(C22=3,C22=4,C22=5)),1.25,IF(AND(G7=1800,OR(C22=3,C22=4,C22=5)),1.05,IF(AND(G7=2000,OR(C22=3,C22=4,C22=5)),1.04,IF(AND(G7=2200,OR(C22=3,C22=4,C22=5)),1.01,IF(AND(G7&gt;2200,OR(C22=3,C22=4,C22=5)),0.99,"")))))</f>
        <v/>
      </c>
    </row>
    <row r="28" spans="1:24" x14ac:dyDescent="0.15">
      <c r="A28" s="247"/>
      <c r="B28" s="247"/>
      <c r="C28" s="245"/>
      <c r="D28" s="182"/>
      <c r="E28" s="182"/>
      <c r="F28" s="182"/>
      <c r="G28" s="182"/>
      <c r="H28" s="251"/>
      <c r="I28" s="247"/>
      <c r="J28" s="252"/>
      <c r="K28" s="253"/>
      <c r="L28" s="245"/>
      <c r="M28" s="326" t="str">
        <f>IF(AND(G7&gt;700,G7&lt;1100,C22=1),6.9,IF(AND(G7&lt;1350,C22=1),6.67,IF(AND(G7&lt;1650,C22=1),6.45,IF(AND(G7&lt;1800,C22=1),6.25,""))))</f>
        <v/>
      </c>
      <c r="N28" s="326" t="str">
        <f>IF(AND(G7=1800,C22=1),6.06,IF(AND(G7=2000,C22=1),5.88,IF(AND(G7=2200,C22=1),5.56,IF(AND(G7&gt;2200,C22=1),5.26,""))))</f>
        <v/>
      </c>
      <c r="O28" s="326" t="str">
        <f>IF(AND(G7&gt;700,G7&lt;1100,C22=6),3.85,IF(AND(G7&lt;1350,C22=6),3.77,IF(AND(G7&lt;1650,C22=6),3.51,IF(AND(G7&lt;1800,C22=6),3.45,""))))</f>
        <v/>
      </c>
      <c r="P28" s="326" t="str">
        <f>IF(AND(G7=1800,C22=6),3.23,IF(AND(G7=2000,C22=6),3.17,IF(AND(G7=2200,C22=6),2.94,IF(AND(G7&gt;2200,C22=6),2.86,""))))</f>
        <v/>
      </c>
      <c r="Q28" s="326" t="str">
        <f>IF(AND(G7&gt;700,G7&lt;1100,C22=2),5.71,IF(AND(G7&lt;1350,C22=2),5.56,IF(AND(G7&lt;1650,C22=2),5.26,IF(AND(G7&lt;1800,C22=2),5.13,""))))</f>
        <v/>
      </c>
      <c r="R28" s="326" t="str">
        <f>IF(AND(G7=1800,C22=2),4.88,IF(AND(G7=2000,C22=2),4.76,IF(AND(G7=2200,C22=2),4.55,IF(AND(G7&gt;2200,C22=2),4.35,""))))</f>
        <v/>
      </c>
      <c r="S28" s="326" t="str">
        <f>IF(AND(G7&gt;700,G7&lt;1100,OR(C22=3,C22=4,C22=5)),3.64,IF(AND(G7&lt;1350,OR(C22=3,C22=4,C22=5)),3.57,IF(AND(G7&lt;1650,OR(C22=3,C22=4,C22=5)),3.17,IF(AND(G7&lt;1800,OR(C22=3,C22=4,C22=5)),3.13,""))))</f>
        <v/>
      </c>
      <c r="T28" s="326" t="str">
        <f>IF(AND(G7=1800,OR(C22=3,C22=4,C22=5)),2.63,IF(AND(G7=2000,OR(C22=3,C22=4,C22=5)),2.6,IF(AND(G7=2200,OR(C22=3,C22=4,C22=5)),2.53,IF(AND(G7&gt;2200,OR(C22=3,C22=4,C22=5)),2.47,""))))</f>
        <v/>
      </c>
    </row>
    <row r="29" spans="1:24" ht="15.75" x14ac:dyDescent="0.15">
      <c r="A29" s="247"/>
      <c r="B29" s="247" t="s">
        <v>782</v>
      </c>
      <c r="C29" s="245"/>
      <c r="D29" s="182" t="s">
        <v>745</v>
      </c>
      <c r="E29" s="182" t="s">
        <v>783</v>
      </c>
      <c r="F29" s="182"/>
      <c r="G29" s="255">
        <f>G30</f>
        <v>0.6</v>
      </c>
      <c r="H29" s="251" t="s">
        <v>763</v>
      </c>
      <c r="I29" s="247"/>
      <c r="J29" s="252"/>
      <c r="K29" s="253"/>
      <c r="L29" s="245"/>
      <c r="M29" s="263" t="s">
        <v>784</v>
      </c>
      <c r="N29" s="264"/>
      <c r="O29" s="263" t="s">
        <v>785</v>
      </c>
      <c r="P29" s="264"/>
      <c r="Q29" s="266" t="s">
        <v>786</v>
      </c>
      <c r="R29" s="264"/>
      <c r="S29" s="266" t="s">
        <v>787</v>
      </c>
      <c r="T29" s="264"/>
      <c r="U29" s="266" t="s">
        <v>788</v>
      </c>
      <c r="V29" s="264"/>
      <c r="W29" s="266" t="s">
        <v>789</v>
      </c>
      <c r="X29" s="264"/>
    </row>
    <row r="30" spans="1:24" ht="15.75" x14ac:dyDescent="0.15">
      <c r="A30" s="247"/>
      <c r="B30" s="247" t="s">
        <v>790</v>
      </c>
      <c r="C30" s="245"/>
      <c r="D30" s="182" t="s">
        <v>745</v>
      </c>
      <c r="E30" s="182" t="s">
        <v>791</v>
      </c>
      <c r="F30" s="182"/>
      <c r="G30" s="250">
        <f>条件入力!I12</f>
        <v>0.6</v>
      </c>
      <c r="H30" s="251" t="s">
        <v>792</v>
      </c>
      <c r="I30" s="247"/>
      <c r="J30" s="252"/>
      <c r="K30" s="253"/>
      <c r="L30" s="245"/>
      <c r="M30" s="326" t="str">
        <f>IF(AND(G7&lt;350,C22=7),2.65,IF(AND(G7&lt;600,C22=7),2.38,IF(AND(G7&lt;800,C22=7),2.16,IF(AND(G7&lt;1100,C22=7),1.95,IF(AND(G7&lt;1350,C22=7),1.86,IF(AND(G7&lt;1650,C22=7),1.81,""))))))</f>
        <v/>
      </c>
      <c r="N30" s="326" t="str">
        <f>IF(AND(G7=1650,C22=7),1.7,IF(AND(G7=1800,C22=7),1.67,IF(AND(G7=2000,C22=7),1.6,IF(AND(G7=2200,C22=7),1.54,IF(AND(G7&gt;2200,C22=7),1.48,"")))))</f>
        <v/>
      </c>
      <c r="O30" s="326" t="str">
        <f>IF(AND(G7&lt;600,C22=8),1.7,IF(AND(G7&lt;800,C22=8),1.82,IF(AND(G7&lt;1100,C22=8),1.67,IF(AND(G7&lt;1350,C22=8),1.6,IF(AND(G7&lt;1650,C22=8),1.57,"")))))</f>
        <v/>
      </c>
      <c r="P30" s="326" t="str">
        <f>IF(AND(G7=1650,C22=8),1.51,IF(AND(G7=1800,C22=8),1.48,IF(AND(G7=2000,C22=8),1.48,IF(AND(G7=2200,C22=8),1.43,IF(AND(G7&gt;2200,C22=8),1.31,"")))))</f>
        <v/>
      </c>
      <c r="Q30" s="326" t="str">
        <f>IF(AND(G7&gt;500,G7&lt;800,C22=9),1.04,IF(AND(G7&lt;1100,C22=9),1.01,IF(AND(G7&lt;1350,C22=9),0.99,IF(AND(G7&lt;1650,C22=9),0.98,IF(AND(G7&lt;1800,C22=9),0.94,"")))))</f>
        <v/>
      </c>
      <c r="R30" s="326" t="str">
        <f>IF(AND(G7=1800,C22=9),0.93,IF(AND(G7=2000,C22=9),0.91,IF(AND(G7=2200,C22=9),0.89,IF(AND(G7=2400,C22=9),0.87,""))))</f>
        <v/>
      </c>
      <c r="S30" s="326" t="str">
        <f>IF(AND(G7&gt;500,G7&lt;800,C22=10),0.8,IF(AND(G7&lt;1100,C22=10),0.78,IF(AND(G7&lt;1350,C22=10),0.77,IF(AND(G7&lt;1650,C22=10),0.76,IF(AND(G7&lt;1800,C22=10),0.74,"")))))</f>
        <v/>
      </c>
      <c r="T30" s="326" t="str">
        <f>IF(AND(G7=1800,C22=10),0.73,IF(AND(G7=2000,C22=10),0.72,IF(AND(G7=2200,C22=10),0.71,IF(AND(G7=2400,C22=10),0.7,""))))</f>
        <v/>
      </c>
      <c r="U30" s="326" t="str">
        <f>IF(AND(G7&gt;500,G7&lt;800,C22=11),0.59,IF(AND(G7&lt;1100,C22=11),0.58,IF(AND(G7&lt;1350,C22=11),0.56,IF(AND(G7&lt;1650,C22=11),0.56,IF(AND(G7&lt;1800,C22=11),0.54,"")))))</f>
        <v/>
      </c>
      <c r="V30" s="326" t="str">
        <f>IF(AND(G7=1800,C22=11),0.54,IF(AND(G7=2000,C22=11),0.51,IF(AND(G7=2200,C22=11),0.51,IF(AND(G7=2400,C22=11),0.5,""))))</f>
        <v/>
      </c>
      <c r="W30" s="326" t="str">
        <f>IF(AND(G7&gt;500,G7&lt;800,C22=12),0.44,IF(AND(G7&lt;1100,C22=12),0.44,IF(AND(G7&lt;1350,C22=12),0.42,IF(AND(G7&lt;1650,C22=12),0.42,IF(AND(G7&lt;1800,C22=12),0.41,"")))))</f>
        <v/>
      </c>
      <c r="X30" s="326" t="str">
        <f>IF(AND(G7=1800,C22=12),0.41,IF(AND(G7=2000,C22=12),0.38,IF(AND(G7=2200,C22=12),0.38,IF(AND(G7=2400,C22=12),0.37,""))))</f>
        <v/>
      </c>
    </row>
    <row r="31" spans="1:24" x14ac:dyDescent="0.15">
      <c r="A31" s="247"/>
      <c r="B31" s="247" t="s">
        <v>793</v>
      </c>
      <c r="C31" s="245"/>
      <c r="D31" s="182" t="s">
        <v>745</v>
      </c>
      <c r="E31" s="182" t="s">
        <v>794</v>
      </c>
      <c r="F31" s="182"/>
      <c r="G31" s="255">
        <f>条件入力!I13</f>
        <v>1.1499999999999999</v>
      </c>
      <c r="H31" s="251"/>
      <c r="I31" s="247"/>
      <c r="J31" s="252"/>
      <c r="K31" s="253"/>
      <c r="L31" s="245"/>
      <c r="M31" s="326" t="str">
        <f>IF(AND(G7&gt;700,G7&lt;1100,C22=7),4.88,IF(AND(G7&lt;1350,C22=7),4.65,IF(AND(G7&lt;1650,C22=7),4.55,IF(AND(G7&lt;1800,C22=7),4.26,""))))</f>
        <v/>
      </c>
      <c r="N31" s="326" t="str">
        <f>IF(AND(G7=1800,C22=7),4.17,IF(AND(G7=2000,C22=7),4,IF(AND(G7=2200,C22=7),3.85,IF(AND(G7&gt;2200,C22=7),3.7,""))))</f>
        <v/>
      </c>
      <c r="O31" s="326" t="str">
        <f>IF(AND(G7&gt;700,G7&lt;1100,C22=8),4.17,IF(AND(G7&lt;1350,C22=8),4,IF(AND(G7&lt;1650,C22=8),3.92,IF(AND(G7&lt;1800,C22=8),3.77,""))))</f>
        <v/>
      </c>
      <c r="P31" s="326" t="str">
        <f>IF(AND(G7=1800,C22=8),3.7,IF(AND(G7=2000,C22=8),3.7,IF(AND(G7=2200,C22=8),3.57,IF(AND(G7&gt;2200,C22=8),3.28,""))))</f>
        <v/>
      </c>
      <c r="Q31" s="326" t="str">
        <f>IF(AND(G7&gt;700,G7&lt;1100,C22=9),2.53,IF(AND(G7&lt;1350,C22=9),2.53,IF(AND(G7&lt;1650,C22=9),2.44,IF(AND(G7&lt;1800,C22=9),2.35,""))))</f>
        <v/>
      </c>
      <c r="R31" s="326" t="str">
        <f>IF(AND(G7=1800,C22=9),2.33,IF(AND(G7=2000,C22=9),2.27,IF(AND(G7=2200,C22=9),2.22,IF(AND(G7&gt;2200,C22=9),2.17,""))))</f>
        <v/>
      </c>
      <c r="S31" s="326" t="str">
        <f>IF(AND(G7&gt;700,G7&lt;1100,C22=10),1.96,IF(AND(G7&lt;1350,C22=10),1.92,IF(AND(G7&lt;1650,C22=10),1.9,IF(AND(G7&lt;1800,C22=10),1.85,IF(AND(G7&lt;2000,C22=10),1.83,"")))))</f>
        <v/>
      </c>
      <c r="T31" s="326" t="str">
        <f>IF(AND(G7=2000,C22=10),1.8,IF(AND(G7=2200,C22=10),1.77,IF(AND(G7=2400,C22=10),1.74,"")))</f>
        <v/>
      </c>
      <c r="U31" s="326" t="str">
        <f>IF(AND(G7&gt;700,G7&lt;1100,C22=11),1.46,IF(AND(G7&lt;1350,C22=11),1.41,IF(AND(G7&lt;1650,C22=11),1.4,IF(AND(G7&lt;1800,C22=11),1.35,IF(AND(G7&lt;2000,C22=11),1.34,"")))))</f>
        <v/>
      </c>
      <c r="V31" s="326" t="str">
        <f>IF(AND(G7=2000,C22=11),1.28,IF(AND(G7=2200,C22=11),1.27,IF(AND(G7=2400,C22=11),1.25,"")))</f>
        <v/>
      </c>
      <c r="W31" s="326" t="str">
        <f>IF(AND(G7&gt;700,G7&lt;1100,C22=12),1.09,IF(AND(G7&lt;1350,C22=12),1.05,IF(AND(G7&lt;1650,C22=12),1.05,IF(AND(G7&lt;1800,C22=12),1.03,IF(AND(G7&lt;2000,C22=12),1.02,"")))))</f>
        <v/>
      </c>
      <c r="X31" s="326" t="str">
        <f>IF(AND(G7=2000,C22=12),0.95,IF(AND(G7=2200,C22=12),0.94,IF(AND(G7=2400,C22=12),0.93,"")))</f>
        <v/>
      </c>
    </row>
    <row r="32" spans="1:24" x14ac:dyDescent="0.15">
      <c r="A32" s="247"/>
      <c r="B32" s="247" t="s">
        <v>795</v>
      </c>
      <c r="C32" s="245"/>
      <c r="D32" s="182" t="s">
        <v>745</v>
      </c>
      <c r="E32" s="182" t="s">
        <v>796</v>
      </c>
      <c r="F32" s="182"/>
      <c r="G32" s="255">
        <f>J135</f>
        <v>1.18006080431396</v>
      </c>
      <c r="H32" s="251"/>
      <c r="I32" s="247"/>
      <c r="J32" s="252"/>
      <c r="K32" s="253"/>
      <c r="L32" s="245"/>
      <c r="M32" s="247"/>
    </row>
    <row r="33" spans="1:13" x14ac:dyDescent="0.15">
      <c r="A33" s="247"/>
      <c r="B33" s="247" t="s">
        <v>797</v>
      </c>
      <c r="C33" s="245"/>
      <c r="D33" s="182" t="s">
        <v>745</v>
      </c>
      <c r="E33" s="182" t="s">
        <v>798</v>
      </c>
      <c r="F33" s="182"/>
      <c r="G33" s="267">
        <f>((G37*(G31-1))/(G31*(G37-1)))*100</f>
        <v>20.716112531969301</v>
      </c>
      <c r="H33" s="251" t="s">
        <v>158</v>
      </c>
      <c r="I33" s="247"/>
      <c r="J33" s="252"/>
      <c r="K33" s="253"/>
      <c r="L33" s="245"/>
      <c r="M33" s="247"/>
    </row>
    <row r="34" spans="1:13" x14ac:dyDescent="0.15">
      <c r="A34" s="247"/>
      <c r="B34" s="247"/>
      <c r="C34" s="182"/>
      <c r="D34" s="182"/>
      <c r="E34" s="182"/>
      <c r="F34" s="182"/>
      <c r="G34" s="182"/>
      <c r="H34" s="251"/>
      <c r="I34" s="247"/>
      <c r="J34" s="252"/>
      <c r="K34" s="253"/>
      <c r="L34" s="245"/>
      <c r="M34" s="247"/>
    </row>
    <row r="35" spans="1:13" x14ac:dyDescent="0.15">
      <c r="A35" s="247" t="s">
        <v>799</v>
      </c>
      <c r="B35" s="247"/>
      <c r="C35" s="182"/>
      <c r="D35" s="182"/>
      <c r="E35" s="182"/>
      <c r="F35" s="182"/>
      <c r="G35" s="254"/>
      <c r="H35" s="251"/>
      <c r="I35" s="247"/>
      <c r="J35" s="252"/>
      <c r="K35" s="253"/>
      <c r="L35" s="245"/>
      <c r="M35" s="247"/>
    </row>
    <row r="36" spans="1:13" x14ac:dyDescent="0.15">
      <c r="A36" s="247"/>
      <c r="B36" s="247"/>
      <c r="C36" s="182"/>
      <c r="D36" s="182"/>
      <c r="E36" s="182"/>
      <c r="F36" s="182"/>
      <c r="G36" s="254"/>
      <c r="H36" s="251"/>
      <c r="I36" s="247"/>
      <c r="J36" s="252"/>
      <c r="K36" s="253"/>
      <c r="L36" s="245"/>
      <c r="M36" s="247"/>
    </row>
    <row r="37" spans="1:13" x14ac:dyDescent="0.15">
      <c r="A37" s="247"/>
      <c r="B37" s="247" t="s">
        <v>138</v>
      </c>
      <c r="C37" s="245"/>
      <c r="D37" s="182" t="s">
        <v>745</v>
      </c>
      <c r="E37" s="182" t="s">
        <v>800</v>
      </c>
      <c r="F37" s="182"/>
      <c r="G37" s="255">
        <f>条件入力!I10</f>
        <v>2.7</v>
      </c>
      <c r="H37" s="251"/>
      <c r="I37" s="247"/>
      <c r="J37" s="252"/>
      <c r="K37" s="253"/>
      <c r="L37" s="245"/>
      <c r="M37" s="247"/>
    </row>
    <row r="38" spans="1:13" x14ac:dyDescent="0.15">
      <c r="A38" s="247"/>
      <c r="B38" s="251" t="s">
        <v>801</v>
      </c>
      <c r="C38" s="245"/>
      <c r="D38" s="182" t="s">
        <v>745</v>
      </c>
      <c r="E38" s="182" t="s">
        <v>802</v>
      </c>
      <c r="F38" s="182"/>
      <c r="G38" s="268">
        <f>J88</f>
        <v>1.9392265193370166</v>
      </c>
      <c r="H38" s="251"/>
      <c r="I38" s="247"/>
      <c r="J38" s="252"/>
      <c r="K38" s="253"/>
      <c r="L38" s="245"/>
      <c r="M38" s="247"/>
    </row>
    <row r="39" spans="1:13" x14ac:dyDescent="0.15">
      <c r="A39" s="247"/>
      <c r="B39" s="247" t="s">
        <v>803</v>
      </c>
      <c r="C39" s="245"/>
      <c r="D39" s="182" t="s">
        <v>745</v>
      </c>
      <c r="E39" s="182" t="s">
        <v>804</v>
      </c>
      <c r="F39" s="182"/>
      <c r="G39" s="250">
        <f>条件入力!D13</f>
        <v>30</v>
      </c>
      <c r="H39" s="251" t="s">
        <v>805</v>
      </c>
      <c r="I39" s="247"/>
      <c r="J39" s="252"/>
      <c r="K39" s="253"/>
      <c r="L39" s="245"/>
      <c r="M39" s="247"/>
    </row>
    <row r="40" spans="1:13" x14ac:dyDescent="0.15">
      <c r="A40" s="247"/>
      <c r="B40" s="247"/>
      <c r="C40" s="245"/>
      <c r="D40" s="182"/>
      <c r="E40" s="182"/>
      <c r="F40" s="182"/>
      <c r="G40" s="254"/>
      <c r="H40" s="251"/>
      <c r="I40" s="247"/>
      <c r="J40" s="252"/>
      <c r="K40" s="253"/>
      <c r="L40" s="245"/>
      <c r="M40" s="247"/>
    </row>
    <row r="41" spans="1:13" x14ac:dyDescent="0.15">
      <c r="A41" s="247"/>
      <c r="B41" s="247" t="s">
        <v>806</v>
      </c>
      <c r="C41" s="245"/>
      <c r="D41" s="182"/>
      <c r="E41" s="182"/>
      <c r="F41" s="182"/>
      <c r="G41" s="254"/>
      <c r="H41" s="251"/>
      <c r="I41" s="247"/>
      <c r="J41" s="252"/>
      <c r="K41" s="253"/>
      <c r="L41" s="245"/>
      <c r="M41" s="247"/>
    </row>
    <row r="42" spans="1:13" x14ac:dyDescent="0.15">
      <c r="A42" s="247"/>
      <c r="B42" s="247" t="s">
        <v>807</v>
      </c>
      <c r="C42" s="245"/>
      <c r="D42" s="182" t="s">
        <v>745</v>
      </c>
      <c r="E42" s="182" t="s">
        <v>808</v>
      </c>
      <c r="F42" s="182"/>
      <c r="G42" s="250">
        <f>条件入力!D14</f>
        <v>30</v>
      </c>
      <c r="H42" s="251" t="s">
        <v>805</v>
      </c>
      <c r="I42" s="247"/>
      <c r="J42" s="252"/>
      <c r="K42" s="253"/>
      <c r="L42" s="245"/>
      <c r="M42" s="247"/>
    </row>
    <row r="43" spans="1:13" x14ac:dyDescent="0.15">
      <c r="A43" s="247"/>
      <c r="B43" s="247" t="s">
        <v>809</v>
      </c>
      <c r="C43" s="245"/>
      <c r="D43" s="182" t="s">
        <v>745</v>
      </c>
      <c r="E43" s="182" t="s">
        <v>810</v>
      </c>
      <c r="F43" s="182"/>
      <c r="G43" s="250">
        <f>条件入力!D15</f>
        <v>30</v>
      </c>
      <c r="H43" s="251" t="s">
        <v>805</v>
      </c>
      <c r="I43" s="247"/>
      <c r="J43" s="252"/>
      <c r="K43" s="253"/>
      <c r="L43" s="245"/>
      <c r="M43" s="247"/>
    </row>
    <row r="44" spans="1:13" x14ac:dyDescent="0.15">
      <c r="A44" s="247"/>
      <c r="B44" s="247" t="s">
        <v>811</v>
      </c>
      <c r="C44" s="245"/>
      <c r="D44" s="182" t="s">
        <v>745</v>
      </c>
      <c r="E44" s="182" t="s">
        <v>812</v>
      </c>
      <c r="F44" s="182"/>
      <c r="G44" s="250">
        <f>100-G42-G43</f>
        <v>40</v>
      </c>
      <c r="H44" s="251" t="s">
        <v>805</v>
      </c>
      <c r="I44" s="247"/>
      <c r="J44" s="252"/>
      <c r="K44" s="253"/>
      <c r="L44" s="245"/>
      <c r="M44" s="247"/>
    </row>
    <row r="45" spans="1:13" x14ac:dyDescent="0.15">
      <c r="A45" s="247"/>
      <c r="B45" s="247"/>
      <c r="C45" s="182"/>
      <c r="D45" s="182"/>
      <c r="E45" s="182"/>
      <c r="F45" s="182"/>
      <c r="G45" s="182"/>
      <c r="H45" s="251"/>
      <c r="I45" s="247"/>
      <c r="J45" s="252"/>
      <c r="K45" s="253"/>
      <c r="L45" s="245"/>
      <c r="M45" s="247"/>
    </row>
    <row r="46" spans="1:13" ht="14.25" x14ac:dyDescent="0.15">
      <c r="A46" s="246" t="s">
        <v>813</v>
      </c>
      <c r="B46" s="247"/>
      <c r="C46" s="182"/>
      <c r="D46" s="182"/>
      <c r="E46" s="182"/>
      <c r="F46" s="182"/>
      <c r="G46" s="247"/>
      <c r="H46" s="247"/>
      <c r="I46" s="247"/>
      <c r="J46" s="248"/>
      <c r="K46" s="244"/>
      <c r="L46" s="245"/>
      <c r="M46" s="247"/>
    </row>
    <row r="47" spans="1:13" x14ac:dyDescent="0.15">
      <c r="A47" s="247"/>
      <c r="B47" s="247"/>
      <c r="C47" s="182"/>
      <c r="D47" s="182"/>
      <c r="E47" s="182"/>
      <c r="F47" s="182"/>
      <c r="G47" s="247"/>
      <c r="H47" s="247"/>
      <c r="I47" s="247"/>
      <c r="J47" s="248"/>
      <c r="K47" s="244"/>
      <c r="L47" s="245"/>
      <c r="M47" s="247"/>
    </row>
    <row r="48" spans="1:13" x14ac:dyDescent="0.15">
      <c r="A48" s="247" t="s">
        <v>814</v>
      </c>
      <c r="B48" s="247"/>
      <c r="C48" s="182"/>
      <c r="D48" s="182"/>
      <c r="E48" s="182"/>
      <c r="F48" s="182"/>
      <c r="G48" s="247"/>
      <c r="H48" s="247"/>
      <c r="I48" s="247"/>
      <c r="J48" s="248"/>
      <c r="K48" s="244"/>
      <c r="L48" s="245"/>
      <c r="M48" s="247"/>
    </row>
    <row r="49" spans="1:13" x14ac:dyDescent="0.15">
      <c r="A49" s="247"/>
      <c r="B49" s="247"/>
      <c r="C49" s="182"/>
      <c r="D49" s="182"/>
      <c r="E49" s="182"/>
      <c r="F49" s="182"/>
      <c r="G49" s="247"/>
      <c r="H49" s="247"/>
      <c r="I49" s="247"/>
      <c r="J49" s="248"/>
      <c r="K49" s="244"/>
      <c r="L49" s="245"/>
      <c r="M49" s="247"/>
    </row>
    <row r="50" spans="1:13" x14ac:dyDescent="0.15">
      <c r="A50" s="226"/>
      <c r="B50" s="247" t="s">
        <v>815</v>
      </c>
      <c r="C50" s="182"/>
      <c r="D50" s="182"/>
      <c r="E50" s="182"/>
      <c r="F50" s="182"/>
      <c r="G50" s="247"/>
      <c r="H50" s="247"/>
      <c r="I50" s="247"/>
      <c r="J50" s="248"/>
      <c r="K50" s="244"/>
      <c r="L50" s="245"/>
      <c r="M50" s="247"/>
    </row>
    <row r="51" spans="1:13" x14ac:dyDescent="0.15">
      <c r="A51" s="247"/>
      <c r="B51" s="247"/>
      <c r="C51" s="182"/>
      <c r="D51" s="182"/>
      <c r="E51" s="182"/>
      <c r="F51" s="182"/>
      <c r="G51" s="247"/>
      <c r="H51" s="247"/>
      <c r="I51" s="247"/>
      <c r="J51" s="248"/>
      <c r="K51" s="244"/>
      <c r="L51" s="245"/>
      <c r="M51" s="247"/>
    </row>
    <row r="52" spans="1:13" x14ac:dyDescent="0.15">
      <c r="A52" s="247"/>
      <c r="B52" s="247"/>
      <c r="C52" s="182"/>
      <c r="D52" s="182"/>
      <c r="E52" s="182"/>
      <c r="F52" s="182"/>
      <c r="G52" s="247"/>
      <c r="H52" s="247"/>
      <c r="I52" s="247"/>
      <c r="J52" s="248"/>
      <c r="K52" s="244"/>
      <c r="L52" s="245"/>
      <c r="M52" s="247"/>
    </row>
    <row r="53" spans="1:13" x14ac:dyDescent="0.15">
      <c r="A53" s="226"/>
      <c r="B53" s="247" t="s">
        <v>816</v>
      </c>
      <c r="C53" s="245"/>
      <c r="D53" s="182" t="s">
        <v>817</v>
      </c>
      <c r="E53" s="182" t="s">
        <v>818</v>
      </c>
      <c r="F53" s="247" t="s">
        <v>819</v>
      </c>
      <c r="G53" s="245"/>
      <c r="H53" s="247"/>
      <c r="I53" s="182" t="s">
        <v>818</v>
      </c>
      <c r="J53" s="248">
        <f>((G37*(G31-1))/(G31*(G37-1)))*100</f>
        <v>20.716112531969301</v>
      </c>
      <c r="K53" s="244" t="s">
        <v>820</v>
      </c>
      <c r="L53" s="245"/>
      <c r="M53" s="247"/>
    </row>
    <row r="54" spans="1:13" x14ac:dyDescent="0.15">
      <c r="A54" s="226"/>
      <c r="B54" s="247"/>
      <c r="C54" s="245"/>
      <c r="D54" s="182"/>
      <c r="E54" s="182"/>
      <c r="F54" s="247"/>
      <c r="G54" s="245"/>
      <c r="H54" s="247"/>
      <c r="I54" s="182"/>
      <c r="J54" s="248"/>
      <c r="K54" s="244"/>
      <c r="L54" s="245"/>
      <c r="M54" s="247"/>
    </row>
    <row r="55" spans="1:13" ht="14.25" x14ac:dyDescent="0.15">
      <c r="A55" s="226"/>
      <c r="B55" s="247" t="s">
        <v>821</v>
      </c>
      <c r="C55" s="245"/>
      <c r="D55" s="182" t="s">
        <v>822</v>
      </c>
      <c r="E55" s="182" t="s">
        <v>818</v>
      </c>
      <c r="F55" s="247" t="s">
        <v>823</v>
      </c>
      <c r="G55" s="245"/>
      <c r="H55" s="247"/>
      <c r="I55" s="182" t="s">
        <v>818</v>
      </c>
      <c r="J55" s="248">
        <f>15*G29</f>
        <v>9</v>
      </c>
      <c r="K55" s="244" t="s">
        <v>824</v>
      </c>
      <c r="L55" s="245"/>
      <c r="M55" s="247"/>
    </row>
    <row r="56" spans="1:13" x14ac:dyDescent="0.15">
      <c r="A56" s="226"/>
      <c r="B56" s="247"/>
      <c r="C56" s="245"/>
      <c r="D56" s="182"/>
      <c r="E56" s="182"/>
      <c r="F56" s="247"/>
      <c r="G56" s="245"/>
      <c r="H56" s="247"/>
      <c r="I56" s="182"/>
      <c r="J56" s="248"/>
      <c r="K56" s="244"/>
      <c r="L56" s="245"/>
      <c r="M56" s="247"/>
    </row>
    <row r="57" spans="1:13" x14ac:dyDescent="0.15">
      <c r="A57" s="226"/>
      <c r="B57" s="247" t="s">
        <v>825</v>
      </c>
      <c r="C57" s="245"/>
      <c r="D57" s="182" t="s">
        <v>826</v>
      </c>
      <c r="E57" s="182" t="s">
        <v>818</v>
      </c>
      <c r="F57" s="247" t="s">
        <v>827</v>
      </c>
      <c r="G57" s="245"/>
      <c r="H57" s="247"/>
      <c r="I57" s="182" t="s">
        <v>818</v>
      </c>
      <c r="J57" s="248">
        <f>G31*J55</f>
        <v>10.35</v>
      </c>
      <c r="K57" s="244" t="s">
        <v>828</v>
      </c>
      <c r="L57" s="245"/>
      <c r="M57" s="247"/>
    </row>
    <row r="58" spans="1:13" x14ac:dyDescent="0.15">
      <c r="A58" s="245"/>
      <c r="B58" s="269"/>
      <c r="C58" s="270"/>
      <c r="D58" s="271"/>
      <c r="E58" s="271"/>
      <c r="F58" s="271"/>
      <c r="G58" s="270"/>
      <c r="H58" s="270"/>
      <c r="I58" s="271"/>
      <c r="J58" s="272"/>
      <c r="K58" s="273"/>
      <c r="L58" s="245"/>
      <c r="M58" s="247"/>
    </row>
    <row r="59" spans="1:13" x14ac:dyDescent="0.15">
      <c r="A59" s="226"/>
      <c r="B59" s="247" t="s">
        <v>829</v>
      </c>
      <c r="C59" s="245"/>
      <c r="D59" s="182" t="s">
        <v>830</v>
      </c>
      <c r="E59" s="182" t="s">
        <v>818</v>
      </c>
      <c r="F59" s="247" t="s">
        <v>831</v>
      </c>
      <c r="G59" s="245"/>
      <c r="H59" s="247"/>
      <c r="I59" s="182" t="s">
        <v>818</v>
      </c>
      <c r="J59" s="268">
        <f>J57*J53/100</f>
        <v>2.1441176470588226</v>
      </c>
      <c r="K59" s="244" t="s">
        <v>828</v>
      </c>
      <c r="L59" s="245"/>
      <c r="M59" s="247"/>
    </row>
    <row r="60" spans="1:13" ht="14.25" x14ac:dyDescent="0.15">
      <c r="A60" s="226"/>
      <c r="B60" s="247"/>
      <c r="C60" s="245"/>
      <c r="D60" s="182" t="s">
        <v>832</v>
      </c>
      <c r="E60" s="182" t="s">
        <v>818</v>
      </c>
      <c r="F60" s="247" t="s">
        <v>833</v>
      </c>
      <c r="G60" s="245"/>
      <c r="H60" s="247"/>
      <c r="I60" s="182" t="s">
        <v>818</v>
      </c>
      <c r="J60" s="268">
        <f>J59/G37</f>
        <v>0.79411764705882315</v>
      </c>
      <c r="K60" s="244" t="s">
        <v>824</v>
      </c>
      <c r="L60" s="245"/>
      <c r="M60" s="247"/>
    </row>
    <row r="61" spans="1:13" x14ac:dyDescent="0.15">
      <c r="A61" s="226"/>
      <c r="B61" s="247"/>
      <c r="C61" s="245"/>
      <c r="D61" s="182"/>
      <c r="E61" s="182"/>
      <c r="F61" s="247"/>
      <c r="G61" s="245"/>
      <c r="H61" s="247"/>
      <c r="I61" s="182"/>
      <c r="J61" s="274"/>
      <c r="K61" s="244"/>
      <c r="L61" s="245"/>
      <c r="M61" s="247"/>
    </row>
    <row r="62" spans="1:13" x14ac:dyDescent="0.15">
      <c r="A62" s="226"/>
      <c r="B62" s="247" t="s">
        <v>834</v>
      </c>
      <c r="C62" s="245"/>
      <c r="D62" s="182" t="s">
        <v>835</v>
      </c>
      <c r="E62" s="182" t="s">
        <v>818</v>
      </c>
      <c r="F62" s="247" t="s">
        <v>836</v>
      </c>
      <c r="G62" s="245"/>
      <c r="H62" s="247"/>
      <c r="I62" s="182" t="s">
        <v>818</v>
      </c>
      <c r="J62" s="248">
        <f>J57*(1-J53/100)</f>
        <v>8.2058823529411775</v>
      </c>
      <c r="K62" s="244" t="s">
        <v>828</v>
      </c>
      <c r="L62" s="245"/>
      <c r="M62" s="247"/>
    </row>
    <row r="63" spans="1:13" ht="14.25" x14ac:dyDescent="0.15">
      <c r="A63" s="247"/>
      <c r="B63" s="247"/>
      <c r="C63" s="245"/>
      <c r="D63" s="182" t="s">
        <v>837</v>
      </c>
      <c r="E63" s="182" t="s">
        <v>818</v>
      </c>
      <c r="F63" s="247" t="s">
        <v>835</v>
      </c>
      <c r="G63" s="245"/>
      <c r="H63" s="247"/>
      <c r="I63" s="182" t="s">
        <v>818</v>
      </c>
      <c r="J63" s="248">
        <f>J62</f>
        <v>8.2058823529411775</v>
      </c>
      <c r="K63" s="244" t="s">
        <v>824</v>
      </c>
      <c r="L63" s="245"/>
      <c r="M63" s="247"/>
    </row>
    <row r="64" spans="1:13" x14ac:dyDescent="0.15">
      <c r="A64" s="247"/>
      <c r="B64" s="247"/>
      <c r="C64" s="182"/>
      <c r="D64" s="182"/>
      <c r="E64" s="182"/>
      <c r="F64" s="182"/>
      <c r="G64" s="247"/>
      <c r="H64" s="247"/>
      <c r="I64" s="182"/>
      <c r="J64" s="248"/>
      <c r="K64" s="244"/>
      <c r="L64" s="245"/>
      <c r="M64" s="247"/>
    </row>
    <row r="65" spans="1:13" x14ac:dyDescent="0.15">
      <c r="A65" s="247" t="s">
        <v>838</v>
      </c>
      <c r="B65" s="247"/>
      <c r="C65" s="182"/>
      <c r="D65" s="182"/>
      <c r="E65" s="182"/>
      <c r="F65" s="182"/>
      <c r="G65" s="247"/>
      <c r="H65" s="247"/>
      <c r="I65" s="182"/>
      <c r="J65" s="248"/>
      <c r="K65" s="244"/>
      <c r="L65" s="245"/>
      <c r="M65" s="247"/>
    </row>
    <row r="66" spans="1:13" x14ac:dyDescent="0.15">
      <c r="A66" s="247"/>
      <c r="B66" s="247"/>
      <c r="C66" s="182"/>
      <c r="D66" s="182"/>
      <c r="E66" s="182"/>
      <c r="F66" s="182"/>
      <c r="G66" s="247"/>
      <c r="H66" s="247"/>
      <c r="I66" s="182"/>
      <c r="J66" s="248"/>
      <c r="K66" s="244"/>
      <c r="L66" s="245"/>
      <c r="M66" s="247"/>
    </row>
    <row r="67" spans="1:13" x14ac:dyDescent="0.15">
      <c r="A67" s="226"/>
      <c r="B67" s="247" t="s">
        <v>816</v>
      </c>
      <c r="C67" s="245"/>
      <c r="D67" s="182" t="s">
        <v>798</v>
      </c>
      <c r="E67" s="182" t="s">
        <v>818</v>
      </c>
      <c r="F67" s="247" t="s">
        <v>817</v>
      </c>
      <c r="G67" s="182"/>
      <c r="H67" s="247"/>
      <c r="I67" s="182" t="s">
        <v>818</v>
      </c>
      <c r="J67" s="248">
        <f>J53</f>
        <v>20.716112531969301</v>
      </c>
      <c r="K67" s="244" t="s">
        <v>820</v>
      </c>
      <c r="L67" s="245"/>
      <c r="M67" s="247"/>
    </row>
    <row r="68" spans="1:13" x14ac:dyDescent="0.15">
      <c r="A68" s="226"/>
      <c r="B68" s="247"/>
      <c r="C68" s="245"/>
      <c r="D68" s="182"/>
      <c r="E68" s="182"/>
      <c r="F68" s="247"/>
      <c r="G68" s="182"/>
      <c r="H68" s="247"/>
      <c r="I68" s="182"/>
      <c r="J68" s="248"/>
      <c r="K68" s="244"/>
      <c r="L68" s="245"/>
      <c r="M68" s="247"/>
    </row>
    <row r="69" spans="1:13" ht="14.25" x14ac:dyDescent="0.15">
      <c r="A69" s="226"/>
      <c r="B69" s="247" t="s">
        <v>839</v>
      </c>
      <c r="C69" s="245"/>
      <c r="D69" s="182" t="s">
        <v>840</v>
      </c>
      <c r="E69" s="182" t="s">
        <v>818</v>
      </c>
      <c r="F69" s="247" t="s">
        <v>841</v>
      </c>
      <c r="G69" s="182"/>
      <c r="H69" s="247"/>
      <c r="I69" s="182" t="s">
        <v>818</v>
      </c>
      <c r="J69" s="248">
        <f>(G29*G23)/(G24/100)</f>
        <v>14.579999999999998</v>
      </c>
      <c r="K69" s="244" t="s">
        <v>842</v>
      </c>
      <c r="L69" s="245"/>
      <c r="M69" s="247"/>
    </row>
    <row r="70" spans="1:13" x14ac:dyDescent="0.15">
      <c r="A70" s="226"/>
      <c r="B70" s="247"/>
      <c r="C70" s="245"/>
      <c r="D70" s="182"/>
      <c r="E70" s="182"/>
      <c r="F70" s="247"/>
      <c r="G70" s="182"/>
      <c r="H70" s="247"/>
      <c r="I70" s="182"/>
      <c r="J70" s="274"/>
      <c r="K70" s="244"/>
      <c r="L70" s="245"/>
      <c r="M70" s="247"/>
    </row>
    <row r="71" spans="1:13" x14ac:dyDescent="0.15">
      <c r="A71" s="226"/>
      <c r="B71" s="247" t="s">
        <v>843</v>
      </c>
      <c r="C71" s="245"/>
      <c r="D71" s="182" t="s">
        <v>844</v>
      </c>
      <c r="E71" s="182" t="s">
        <v>818</v>
      </c>
      <c r="F71" s="247" t="s">
        <v>845</v>
      </c>
      <c r="G71" s="182"/>
      <c r="H71" s="247"/>
      <c r="I71" s="182" t="s">
        <v>818</v>
      </c>
      <c r="J71" s="268">
        <f>J69*G31</f>
        <v>16.766999999999996</v>
      </c>
      <c r="K71" s="244" t="s">
        <v>846</v>
      </c>
      <c r="L71" s="245"/>
      <c r="M71" s="247"/>
    </row>
    <row r="72" spans="1:13" x14ac:dyDescent="0.15">
      <c r="A72" s="226"/>
      <c r="B72" s="270"/>
      <c r="C72" s="271"/>
      <c r="D72" s="271"/>
      <c r="E72" s="271"/>
      <c r="F72" s="271"/>
      <c r="G72" s="270"/>
      <c r="H72" s="270"/>
      <c r="I72" s="271"/>
      <c r="J72" s="275"/>
      <c r="K72" s="273"/>
      <c r="L72" s="245"/>
      <c r="M72" s="247"/>
    </row>
    <row r="73" spans="1:13" x14ac:dyDescent="0.15">
      <c r="A73" s="226"/>
      <c r="B73" s="247" t="s">
        <v>829</v>
      </c>
      <c r="C73" s="245"/>
      <c r="D73" s="182" t="s">
        <v>847</v>
      </c>
      <c r="E73" s="182" t="s">
        <v>818</v>
      </c>
      <c r="F73" s="247" t="s">
        <v>848</v>
      </c>
      <c r="G73" s="182"/>
      <c r="H73" s="247"/>
      <c r="I73" s="182" t="s">
        <v>818</v>
      </c>
      <c r="J73" s="248">
        <f>(J71*J67)/100</f>
        <v>3.4734705882352923</v>
      </c>
      <c r="K73" s="244" t="s">
        <v>846</v>
      </c>
      <c r="L73" s="245"/>
      <c r="M73" s="247"/>
    </row>
    <row r="74" spans="1:13" ht="14.25" x14ac:dyDescent="0.15">
      <c r="A74" s="226"/>
      <c r="B74" s="247"/>
      <c r="C74" s="245"/>
      <c r="D74" s="182" t="s">
        <v>849</v>
      </c>
      <c r="E74" s="182" t="s">
        <v>818</v>
      </c>
      <c r="F74" s="247" t="s">
        <v>850</v>
      </c>
      <c r="G74" s="182"/>
      <c r="H74" s="247"/>
      <c r="I74" s="182" t="s">
        <v>818</v>
      </c>
      <c r="J74" s="268">
        <f>J73/G37</f>
        <v>1.2864705882352934</v>
      </c>
      <c r="K74" s="244" t="s">
        <v>842</v>
      </c>
      <c r="L74" s="245"/>
      <c r="M74" s="247"/>
    </row>
    <row r="75" spans="1:13" x14ac:dyDescent="0.15">
      <c r="A75" s="226"/>
      <c r="B75" s="247"/>
      <c r="C75" s="245"/>
      <c r="D75" s="182"/>
      <c r="E75" s="182"/>
      <c r="F75" s="247"/>
      <c r="G75" s="182"/>
      <c r="H75" s="247"/>
      <c r="I75" s="182"/>
      <c r="J75" s="248"/>
      <c r="K75" s="244"/>
      <c r="L75" s="245"/>
      <c r="M75" s="247"/>
    </row>
    <row r="76" spans="1:13" x14ac:dyDescent="0.15">
      <c r="A76" s="226"/>
      <c r="B76" s="247" t="s">
        <v>834</v>
      </c>
      <c r="C76" s="245"/>
      <c r="D76" s="182" t="s">
        <v>851</v>
      </c>
      <c r="E76" s="182" t="s">
        <v>818</v>
      </c>
      <c r="F76" s="247" t="s">
        <v>852</v>
      </c>
      <c r="G76" s="182"/>
      <c r="H76" s="247"/>
      <c r="I76" s="182" t="s">
        <v>818</v>
      </c>
      <c r="J76" s="248">
        <f>J71*(1-J67/100)</f>
        <v>13.293529411764704</v>
      </c>
      <c r="K76" s="244" t="s">
        <v>846</v>
      </c>
      <c r="L76" s="245"/>
      <c r="M76" s="247"/>
    </row>
    <row r="77" spans="1:13" ht="14.25" x14ac:dyDescent="0.15">
      <c r="A77" s="226"/>
      <c r="B77" s="247"/>
      <c r="C77" s="245"/>
      <c r="D77" s="182" t="s">
        <v>853</v>
      </c>
      <c r="E77" s="182" t="s">
        <v>818</v>
      </c>
      <c r="F77" s="247" t="s">
        <v>851</v>
      </c>
      <c r="G77" s="182"/>
      <c r="H77" s="247"/>
      <c r="I77" s="182" t="s">
        <v>818</v>
      </c>
      <c r="J77" s="248">
        <f>J76</f>
        <v>13.293529411764704</v>
      </c>
      <c r="K77" s="244" t="s">
        <v>842</v>
      </c>
      <c r="L77" s="245"/>
      <c r="M77" s="247"/>
    </row>
    <row r="78" spans="1:13" x14ac:dyDescent="0.15">
      <c r="L78" s="245"/>
      <c r="M78" s="247"/>
    </row>
    <row r="79" spans="1:13" x14ac:dyDescent="0.15">
      <c r="A79" s="247" t="s">
        <v>854</v>
      </c>
      <c r="B79" s="247"/>
      <c r="C79" s="182"/>
      <c r="D79" s="182"/>
      <c r="E79" s="182"/>
      <c r="F79" s="182"/>
      <c r="G79" s="247"/>
      <c r="H79" s="247"/>
      <c r="I79" s="247"/>
      <c r="J79" s="276"/>
      <c r="K79" s="244"/>
      <c r="L79" s="245"/>
      <c r="M79" s="247"/>
    </row>
    <row r="80" spans="1:13" x14ac:dyDescent="0.15">
      <c r="A80" s="247"/>
      <c r="B80" s="247"/>
      <c r="C80" s="182"/>
      <c r="D80" s="182"/>
      <c r="E80" s="182"/>
      <c r="F80" s="182"/>
      <c r="G80" s="247"/>
      <c r="H80" s="247"/>
      <c r="I80" s="247"/>
      <c r="J80" s="248"/>
      <c r="K80" s="244"/>
      <c r="L80" s="245"/>
      <c r="M80" s="247"/>
    </row>
    <row r="81" spans="1:13" x14ac:dyDescent="0.15">
      <c r="A81" s="226"/>
      <c r="B81" s="247" t="s">
        <v>157</v>
      </c>
      <c r="C81" s="245"/>
      <c r="D81" s="182" t="s">
        <v>804</v>
      </c>
      <c r="E81" s="226"/>
      <c r="F81" s="226"/>
      <c r="G81" s="226"/>
      <c r="H81" s="226"/>
      <c r="I81" s="182" t="s">
        <v>818</v>
      </c>
      <c r="J81" s="267">
        <f>G39</f>
        <v>30</v>
      </c>
      <c r="K81" s="244" t="s">
        <v>855</v>
      </c>
      <c r="L81" s="245"/>
      <c r="M81" s="247"/>
    </row>
    <row r="82" spans="1:13" x14ac:dyDescent="0.15">
      <c r="A82" s="226"/>
      <c r="B82" s="247"/>
      <c r="C82" s="245"/>
      <c r="D82" s="182"/>
      <c r="E82" s="226"/>
      <c r="F82" s="226"/>
      <c r="G82" s="226"/>
      <c r="H82" s="226"/>
      <c r="I82" s="182"/>
      <c r="J82" s="267"/>
      <c r="K82" s="244"/>
      <c r="L82" s="245"/>
      <c r="M82" s="247"/>
    </row>
    <row r="83" spans="1:13" x14ac:dyDescent="0.15">
      <c r="A83" s="226"/>
      <c r="B83" s="247" t="s">
        <v>806</v>
      </c>
      <c r="C83" s="245"/>
      <c r="D83" s="182"/>
      <c r="E83" s="226"/>
      <c r="F83" s="226"/>
      <c r="G83" s="226"/>
      <c r="H83" s="226"/>
      <c r="I83" s="182"/>
      <c r="J83" s="267"/>
      <c r="K83" s="244"/>
      <c r="L83" s="245"/>
      <c r="M83" s="247"/>
    </row>
    <row r="84" spans="1:13" x14ac:dyDescent="0.15">
      <c r="A84" s="226"/>
      <c r="B84" s="247" t="s">
        <v>856</v>
      </c>
      <c r="C84" s="245"/>
      <c r="D84" s="182" t="s">
        <v>808</v>
      </c>
      <c r="E84" s="226"/>
      <c r="F84" s="226"/>
      <c r="G84" s="226"/>
      <c r="H84" s="226"/>
      <c r="I84" s="182" t="s">
        <v>818</v>
      </c>
      <c r="J84" s="267">
        <f>G42</f>
        <v>30</v>
      </c>
      <c r="K84" s="244" t="s">
        <v>855</v>
      </c>
      <c r="L84" s="245"/>
      <c r="M84" s="247"/>
    </row>
    <row r="85" spans="1:13" x14ac:dyDescent="0.15">
      <c r="A85" s="226"/>
      <c r="B85" s="247" t="s">
        <v>809</v>
      </c>
      <c r="C85" s="245"/>
      <c r="D85" s="182" t="s">
        <v>810</v>
      </c>
      <c r="E85" s="226"/>
      <c r="F85" s="226"/>
      <c r="G85" s="226"/>
      <c r="H85" s="226"/>
      <c r="I85" s="182" t="s">
        <v>818</v>
      </c>
      <c r="J85" s="267">
        <f>G43</f>
        <v>30</v>
      </c>
      <c r="K85" s="244" t="s">
        <v>855</v>
      </c>
      <c r="L85" s="245"/>
      <c r="M85" s="247"/>
    </row>
    <row r="86" spans="1:13" x14ac:dyDescent="0.15">
      <c r="A86" s="226"/>
      <c r="B86" s="247" t="s">
        <v>857</v>
      </c>
      <c r="C86" s="245"/>
      <c r="D86" s="182" t="s">
        <v>812</v>
      </c>
      <c r="E86" s="226"/>
      <c r="F86" s="226"/>
      <c r="G86" s="226"/>
      <c r="H86" s="226"/>
      <c r="I86" s="182" t="s">
        <v>818</v>
      </c>
      <c r="J86" s="267">
        <f>G44</f>
        <v>40</v>
      </c>
      <c r="K86" s="244" t="s">
        <v>855</v>
      </c>
      <c r="L86" s="245"/>
      <c r="M86" s="247"/>
    </row>
    <row r="87" spans="1:13" x14ac:dyDescent="0.15">
      <c r="A87" s="226"/>
      <c r="B87" s="247"/>
      <c r="C87" s="245"/>
      <c r="D87" s="182"/>
      <c r="E87" s="182"/>
      <c r="F87" s="182"/>
      <c r="G87" s="247"/>
      <c r="H87" s="247"/>
      <c r="I87" s="182"/>
      <c r="J87" s="248"/>
      <c r="K87" s="244"/>
      <c r="L87" s="245"/>
      <c r="M87" s="247"/>
    </row>
    <row r="88" spans="1:13" x14ac:dyDescent="0.15">
      <c r="A88" s="226"/>
      <c r="B88" s="247" t="s">
        <v>801</v>
      </c>
      <c r="C88" s="245"/>
      <c r="D88" s="182" t="s">
        <v>802</v>
      </c>
      <c r="E88" s="182" t="s">
        <v>818</v>
      </c>
      <c r="F88" s="247" t="s">
        <v>858</v>
      </c>
      <c r="G88" s="245"/>
      <c r="H88" s="247"/>
      <c r="I88" s="182" t="s">
        <v>818</v>
      </c>
      <c r="J88" s="248">
        <f>G37*((J81/100)+1)/(G37*J81/100+1)</f>
        <v>1.9392265193370166</v>
      </c>
      <c r="K88" s="277"/>
      <c r="L88" s="245"/>
      <c r="M88" s="247"/>
    </row>
    <row r="89" spans="1:13" x14ac:dyDescent="0.15">
      <c r="A89" s="226"/>
      <c r="B89" s="247"/>
      <c r="C89" s="245"/>
      <c r="D89" s="182"/>
      <c r="E89" s="182"/>
      <c r="F89" s="247"/>
      <c r="G89" s="245"/>
      <c r="H89" s="247"/>
      <c r="I89" s="182"/>
      <c r="J89" s="248"/>
      <c r="K89" s="244"/>
      <c r="L89" s="245"/>
      <c r="M89" s="247"/>
    </row>
    <row r="90" spans="1:13" ht="14.25" x14ac:dyDescent="0.15">
      <c r="A90" s="226"/>
      <c r="B90" s="247" t="s">
        <v>761</v>
      </c>
      <c r="C90" s="245"/>
      <c r="D90" s="182" t="s">
        <v>762</v>
      </c>
      <c r="E90" s="182" t="s">
        <v>818</v>
      </c>
      <c r="F90" s="247" t="s">
        <v>859</v>
      </c>
      <c r="G90" s="245"/>
      <c r="H90" s="247"/>
      <c r="I90" s="182" t="s">
        <v>818</v>
      </c>
      <c r="J90" s="248">
        <f>PI()/4*(G20/1000)^2*G23</f>
        <v>0.57732655495937946</v>
      </c>
      <c r="K90" s="244" t="s">
        <v>842</v>
      </c>
      <c r="L90" s="245"/>
      <c r="M90" s="247"/>
    </row>
    <row r="91" spans="1:13" x14ac:dyDescent="0.15">
      <c r="A91" s="226"/>
      <c r="B91" s="247"/>
      <c r="C91" s="245"/>
      <c r="D91" s="182"/>
      <c r="E91" s="182"/>
      <c r="F91" s="247"/>
      <c r="G91" s="245"/>
      <c r="H91" s="247"/>
      <c r="I91" s="182"/>
      <c r="J91" s="248"/>
      <c r="K91" s="244"/>
      <c r="L91" s="245"/>
      <c r="M91" s="247"/>
    </row>
    <row r="92" spans="1:13" x14ac:dyDescent="0.15">
      <c r="A92" s="226"/>
      <c r="B92" s="247" t="s">
        <v>860</v>
      </c>
      <c r="C92" s="245"/>
      <c r="D92" s="182" t="s">
        <v>861</v>
      </c>
      <c r="E92" s="182" t="s">
        <v>818</v>
      </c>
      <c r="F92" s="247" t="s">
        <v>862</v>
      </c>
      <c r="G92" s="245"/>
      <c r="H92" s="247"/>
      <c r="I92" s="182" t="s">
        <v>818</v>
      </c>
      <c r="J92" s="248">
        <f>J88*J90</f>
        <v>1.1195669656947083</v>
      </c>
      <c r="K92" s="244" t="s">
        <v>846</v>
      </c>
      <c r="L92" s="245"/>
      <c r="M92" s="247"/>
    </row>
    <row r="93" spans="1:13" x14ac:dyDescent="0.15">
      <c r="A93" s="226"/>
      <c r="B93" s="247"/>
      <c r="C93" s="245"/>
      <c r="D93" s="182"/>
      <c r="E93" s="182"/>
      <c r="F93" s="247"/>
      <c r="G93" s="245"/>
      <c r="H93" s="247"/>
      <c r="I93" s="247"/>
      <c r="J93" s="248"/>
      <c r="K93" s="244"/>
      <c r="L93" s="245"/>
      <c r="M93" s="247"/>
    </row>
    <row r="94" spans="1:13" x14ac:dyDescent="0.15">
      <c r="A94" s="226"/>
      <c r="B94" s="247" t="s">
        <v>829</v>
      </c>
      <c r="C94" s="245"/>
      <c r="D94" s="182" t="s">
        <v>863</v>
      </c>
      <c r="E94" s="182" t="s">
        <v>818</v>
      </c>
      <c r="F94" s="247" t="s">
        <v>864</v>
      </c>
      <c r="G94" s="245"/>
      <c r="H94" s="247"/>
      <c r="I94" s="182" t="s">
        <v>818</v>
      </c>
      <c r="J94" s="268">
        <f>J92/(1+(J81/100))</f>
        <v>0.86120535822669864</v>
      </c>
      <c r="K94" s="244" t="s">
        <v>846</v>
      </c>
      <c r="L94" s="245"/>
      <c r="M94" s="247"/>
    </row>
    <row r="95" spans="1:13" ht="14.25" x14ac:dyDescent="0.15">
      <c r="A95" s="226"/>
      <c r="B95" s="247"/>
      <c r="C95" s="245"/>
      <c r="D95" s="182" t="s">
        <v>865</v>
      </c>
      <c r="E95" s="182" t="s">
        <v>818</v>
      </c>
      <c r="F95" s="247" t="s">
        <v>866</v>
      </c>
      <c r="G95" s="245"/>
      <c r="H95" s="247"/>
      <c r="I95" s="182" t="s">
        <v>818</v>
      </c>
      <c r="J95" s="248">
        <f>J94/G37</f>
        <v>0.31896494749136983</v>
      </c>
      <c r="K95" s="244" t="s">
        <v>842</v>
      </c>
      <c r="L95" s="245"/>
      <c r="M95" s="247"/>
    </row>
    <row r="96" spans="1:13" x14ac:dyDescent="0.15">
      <c r="A96" s="226"/>
      <c r="B96" s="247"/>
      <c r="C96" s="245"/>
      <c r="D96" s="182"/>
      <c r="E96" s="182"/>
      <c r="F96" s="247"/>
      <c r="G96" s="245"/>
      <c r="H96" s="247"/>
      <c r="I96" s="182"/>
      <c r="J96" s="248"/>
      <c r="K96" s="244"/>
      <c r="L96" s="245"/>
      <c r="M96" s="247"/>
    </row>
    <row r="97" spans="1:24" x14ac:dyDescent="0.15">
      <c r="A97" s="226"/>
      <c r="B97" s="247" t="s">
        <v>834</v>
      </c>
      <c r="C97" s="245"/>
      <c r="D97" s="182" t="s">
        <v>867</v>
      </c>
      <c r="E97" s="182" t="s">
        <v>818</v>
      </c>
      <c r="F97" s="247" t="s">
        <v>868</v>
      </c>
      <c r="G97" s="245"/>
      <c r="H97" s="247"/>
      <c r="I97" s="182" t="s">
        <v>818</v>
      </c>
      <c r="J97" s="248">
        <f>((J81/100)/(1+J81/100))*J92</f>
        <v>0.25836160746800957</v>
      </c>
      <c r="K97" s="244" t="s">
        <v>846</v>
      </c>
      <c r="L97" s="245"/>
      <c r="M97" s="247"/>
    </row>
    <row r="98" spans="1:24" ht="14.25" x14ac:dyDescent="0.15">
      <c r="A98" s="226"/>
      <c r="B98" s="247"/>
      <c r="C98" s="245"/>
      <c r="D98" s="182" t="s">
        <v>869</v>
      </c>
      <c r="E98" s="182" t="s">
        <v>818</v>
      </c>
      <c r="F98" s="247" t="s">
        <v>867</v>
      </c>
      <c r="G98" s="245"/>
      <c r="H98" s="247"/>
      <c r="I98" s="182" t="s">
        <v>818</v>
      </c>
      <c r="J98" s="248">
        <f>J97</f>
        <v>0.25836160746800957</v>
      </c>
      <c r="K98" s="244" t="s">
        <v>842</v>
      </c>
      <c r="L98" s="245"/>
      <c r="M98" s="247"/>
    </row>
    <row r="99" spans="1:24" x14ac:dyDescent="0.15">
      <c r="A99" s="226"/>
      <c r="B99" s="247"/>
      <c r="C99" s="245"/>
      <c r="D99" s="182"/>
      <c r="E99" s="182"/>
      <c r="F99" s="247"/>
      <c r="G99" s="245"/>
      <c r="H99" s="247"/>
      <c r="I99" s="182"/>
      <c r="J99" s="248"/>
      <c r="K99" s="244"/>
      <c r="L99" s="245"/>
      <c r="M99" s="247"/>
    </row>
    <row r="100" spans="1:24" x14ac:dyDescent="0.15">
      <c r="A100" s="226"/>
      <c r="B100" s="247" t="s">
        <v>856</v>
      </c>
      <c r="C100" s="245"/>
      <c r="D100" s="182" t="s">
        <v>870</v>
      </c>
      <c r="E100" s="182" t="s">
        <v>818</v>
      </c>
      <c r="F100" s="247" t="s">
        <v>871</v>
      </c>
      <c r="G100" s="245"/>
      <c r="H100" s="247"/>
      <c r="I100" s="182" t="s">
        <v>818</v>
      </c>
      <c r="J100" s="248">
        <f>J94*(J84/100)</f>
        <v>0.25836160746800957</v>
      </c>
      <c r="K100" s="244" t="s">
        <v>846</v>
      </c>
      <c r="L100" s="245"/>
      <c r="M100" s="247"/>
    </row>
    <row r="101" spans="1:24" ht="14.25" x14ac:dyDescent="0.15">
      <c r="A101" s="226"/>
      <c r="B101" s="247"/>
      <c r="C101" s="245"/>
      <c r="D101" s="182" t="s">
        <v>872</v>
      </c>
      <c r="E101" s="182" t="s">
        <v>818</v>
      </c>
      <c r="F101" s="247" t="s">
        <v>873</v>
      </c>
      <c r="G101" s="245"/>
      <c r="H101" s="247"/>
      <c r="I101" s="182" t="s">
        <v>818</v>
      </c>
      <c r="J101" s="268">
        <f>J100/G37</f>
        <v>9.5689484247410944E-2</v>
      </c>
      <c r="K101" s="244" t="s">
        <v>842</v>
      </c>
      <c r="L101" s="245"/>
      <c r="M101" s="247"/>
    </row>
    <row r="102" spans="1:24" x14ac:dyDescent="0.15">
      <c r="A102" s="226"/>
      <c r="B102" s="278"/>
      <c r="C102" s="245"/>
      <c r="D102" s="182"/>
      <c r="E102" s="182"/>
      <c r="F102" s="247"/>
      <c r="G102" s="245"/>
      <c r="H102" s="247"/>
      <c r="I102" s="182"/>
      <c r="J102" s="248"/>
      <c r="K102" s="244"/>
      <c r="L102" s="245"/>
      <c r="M102" s="247"/>
    </row>
    <row r="103" spans="1:24" x14ac:dyDescent="0.15">
      <c r="A103" s="226"/>
      <c r="B103" s="247" t="s">
        <v>809</v>
      </c>
      <c r="C103" s="245"/>
      <c r="D103" s="182" t="s">
        <v>874</v>
      </c>
      <c r="E103" s="182" t="s">
        <v>818</v>
      </c>
      <c r="F103" s="247" t="s">
        <v>875</v>
      </c>
      <c r="G103" s="245"/>
      <c r="H103" s="247"/>
      <c r="I103" s="182" t="s">
        <v>818</v>
      </c>
      <c r="J103" s="248">
        <f>J94*(J85/100)</f>
        <v>0.25836160746800957</v>
      </c>
      <c r="K103" s="244" t="s">
        <v>846</v>
      </c>
      <c r="L103" s="245"/>
      <c r="M103" s="247"/>
    </row>
    <row r="104" spans="1:24" ht="14.25" x14ac:dyDescent="0.15">
      <c r="A104" s="226"/>
      <c r="B104" s="247"/>
      <c r="C104" s="245"/>
      <c r="D104" s="182" t="s">
        <v>876</v>
      </c>
      <c r="E104" s="182" t="s">
        <v>818</v>
      </c>
      <c r="F104" s="247" t="s">
        <v>877</v>
      </c>
      <c r="G104" s="245"/>
      <c r="H104" s="247"/>
      <c r="I104" s="182" t="s">
        <v>818</v>
      </c>
      <c r="J104" s="268">
        <f>J103/G37</f>
        <v>9.5689484247410944E-2</v>
      </c>
      <c r="K104" s="244" t="s">
        <v>842</v>
      </c>
      <c r="L104" s="245"/>
      <c r="M104" s="247"/>
      <c r="N104" s="247"/>
      <c r="O104" s="279"/>
      <c r="P104" s="279"/>
      <c r="Q104" s="279"/>
      <c r="R104" s="279"/>
      <c r="S104" s="182"/>
      <c r="T104" s="182"/>
      <c r="U104" s="279"/>
      <c r="V104" s="280"/>
      <c r="W104" s="244"/>
      <c r="X104" s="241"/>
    </row>
    <row r="105" spans="1:24" x14ac:dyDescent="0.15">
      <c r="A105" s="226"/>
      <c r="B105" s="247"/>
      <c r="C105" s="245"/>
      <c r="D105" s="182"/>
      <c r="E105" s="182"/>
      <c r="F105" s="247"/>
      <c r="G105" s="245"/>
      <c r="H105" s="247"/>
      <c r="I105" s="182"/>
      <c r="J105" s="274"/>
      <c r="K105" s="244"/>
      <c r="L105" s="245"/>
      <c r="M105" s="247"/>
      <c r="N105" s="182"/>
      <c r="O105" s="241"/>
      <c r="P105" s="241"/>
      <c r="Q105" s="241"/>
      <c r="R105" s="241"/>
      <c r="S105" s="241"/>
      <c r="T105" s="241"/>
      <c r="U105" s="241"/>
      <c r="V105" s="241"/>
      <c r="W105" s="241"/>
      <c r="X105" s="241"/>
    </row>
    <row r="106" spans="1:24" x14ac:dyDescent="0.15">
      <c r="A106" s="226"/>
      <c r="B106" s="247" t="s">
        <v>857</v>
      </c>
      <c r="C106" s="245"/>
      <c r="D106" s="182" t="s">
        <v>878</v>
      </c>
      <c r="E106" s="182" t="s">
        <v>818</v>
      </c>
      <c r="F106" s="247" t="s">
        <v>879</v>
      </c>
      <c r="G106" s="245"/>
      <c r="H106" s="247"/>
      <c r="I106" s="182" t="s">
        <v>818</v>
      </c>
      <c r="J106" s="248">
        <f>J94*(J86/100)</f>
        <v>0.3444821432906795</v>
      </c>
      <c r="K106" s="244" t="s">
        <v>846</v>
      </c>
      <c r="L106" s="245"/>
      <c r="M106" s="182"/>
      <c r="N106" s="182"/>
      <c r="O106" s="241"/>
      <c r="P106" s="241"/>
      <c r="Q106" s="241"/>
      <c r="R106" s="241"/>
      <c r="S106" s="241"/>
      <c r="T106" s="241"/>
      <c r="U106" s="241"/>
      <c r="V106" s="241"/>
      <c r="W106" s="241"/>
      <c r="X106" s="241"/>
    </row>
    <row r="107" spans="1:24" ht="14.25" x14ac:dyDescent="0.15">
      <c r="A107" s="226"/>
      <c r="B107" s="247"/>
      <c r="C107" s="245"/>
      <c r="D107" s="182" t="s">
        <v>880</v>
      </c>
      <c r="E107" s="182" t="s">
        <v>818</v>
      </c>
      <c r="F107" s="247" t="s">
        <v>881</v>
      </c>
      <c r="G107" s="245"/>
      <c r="H107" s="247"/>
      <c r="I107" s="182" t="s">
        <v>818</v>
      </c>
      <c r="J107" s="268">
        <f>J106/G37</f>
        <v>0.12758597899654794</v>
      </c>
      <c r="K107" s="244" t="s">
        <v>842</v>
      </c>
      <c r="L107" s="245"/>
      <c r="M107" s="182"/>
      <c r="N107" s="182"/>
      <c r="O107" s="241"/>
      <c r="P107" s="241"/>
      <c r="Q107" s="241"/>
      <c r="R107" s="241"/>
      <c r="S107" s="241"/>
      <c r="T107" s="241"/>
      <c r="U107" s="241"/>
      <c r="V107" s="241"/>
      <c r="W107" s="241"/>
      <c r="X107" s="241"/>
    </row>
    <row r="108" spans="1:24" x14ac:dyDescent="0.15">
      <c r="A108" s="226"/>
      <c r="B108" s="270"/>
      <c r="C108" s="271"/>
      <c r="D108" s="271"/>
      <c r="E108" s="271"/>
      <c r="F108" s="271"/>
      <c r="G108" s="270"/>
      <c r="H108" s="270"/>
      <c r="I108" s="271"/>
      <c r="J108" s="281"/>
      <c r="K108" s="273"/>
      <c r="L108" s="245"/>
      <c r="M108" s="182"/>
      <c r="N108" s="182"/>
      <c r="O108" s="241"/>
      <c r="P108" s="241"/>
      <c r="Q108" s="241"/>
      <c r="R108" s="241"/>
      <c r="S108" s="241"/>
      <c r="T108" s="241"/>
      <c r="U108" s="241"/>
      <c r="V108" s="241"/>
      <c r="W108" s="241"/>
      <c r="X108" s="241"/>
    </row>
    <row r="109" spans="1:24" x14ac:dyDescent="0.15">
      <c r="A109" s="226"/>
      <c r="B109" s="247" t="s">
        <v>829</v>
      </c>
      <c r="C109" s="245"/>
      <c r="D109" s="182" t="s">
        <v>863</v>
      </c>
      <c r="E109" s="470" t="s">
        <v>818</v>
      </c>
      <c r="F109" s="226" t="s">
        <v>882</v>
      </c>
      <c r="G109" s="245"/>
      <c r="H109" s="226"/>
      <c r="I109" s="182" t="s">
        <v>818</v>
      </c>
      <c r="J109" s="248">
        <f>J94</f>
        <v>0.86120535822669864</v>
      </c>
      <c r="K109" s="244" t="s">
        <v>846</v>
      </c>
      <c r="L109" s="245"/>
      <c r="M109" s="182"/>
      <c r="N109" s="182"/>
      <c r="O109" s="241"/>
      <c r="P109" s="241"/>
      <c r="Q109" s="241"/>
      <c r="R109" s="241"/>
      <c r="S109" s="241"/>
      <c r="T109" s="241"/>
      <c r="U109" s="241"/>
      <c r="V109" s="241"/>
      <c r="W109" s="241"/>
      <c r="X109" s="241"/>
    </row>
    <row r="110" spans="1:24" ht="14.25" x14ac:dyDescent="0.15">
      <c r="A110" s="226"/>
      <c r="B110" s="247"/>
      <c r="C110" s="245"/>
      <c r="D110" s="182" t="s">
        <v>865</v>
      </c>
      <c r="E110" s="470" t="s">
        <v>818</v>
      </c>
      <c r="F110" s="226" t="s">
        <v>883</v>
      </c>
      <c r="G110" s="245"/>
      <c r="H110" s="226"/>
      <c r="I110" s="182" t="s">
        <v>818</v>
      </c>
      <c r="J110" s="248">
        <f>J95</f>
        <v>0.31896494749136983</v>
      </c>
      <c r="K110" s="244" t="s">
        <v>842</v>
      </c>
      <c r="L110" s="245"/>
      <c r="M110" s="182"/>
      <c r="N110" s="247"/>
      <c r="O110" s="241"/>
      <c r="P110" s="241"/>
      <c r="Q110" s="241"/>
      <c r="R110" s="241"/>
      <c r="S110" s="241"/>
      <c r="T110" s="241"/>
      <c r="U110" s="241"/>
      <c r="V110" s="241"/>
      <c r="W110" s="241"/>
      <c r="X110" s="241"/>
    </row>
    <row r="111" spans="1:24" x14ac:dyDescent="0.15">
      <c r="A111" s="226"/>
      <c r="B111" s="247"/>
      <c r="C111" s="245"/>
      <c r="D111" s="182"/>
      <c r="E111" s="226"/>
      <c r="F111" s="226"/>
      <c r="G111" s="226"/>
      <c r="H111" s="226"/>
      <c r="I111" s="182"/>
      <c r="J111" s="248"/>
      <c r="K111" s="244"/>
      <c r="L111" s="245"/>
      <c r="M111" s="182"/>
      <c r="N111" s="182"/>
      <c r="O111" s="241"/>
      <c r="P111" s="241"/>
      <c r="Q111" s="241"/>
      <c r="R111" s="241"/>
      <c r="S111" s="241"/>
      <c r="T111" s="241"/>
      <c r="U111" s="241"/>
      <c r="V111" s="241"/>
      <c r="W111" s="241"/>
      <c r="X111" s="241"/>
    </row>
    <row r="112" spans="1:24" x14ac:dyDescent="0.15">
      <c r="A112" s="226"/>
      <c r="B112" s="247" t="s">
        <v>834</v>
      </c>
      <c r="C112" s="245"/>
      <c r="D112" s="182" t="s">
        <v>867</v>
      </c>
      <c r="E112" s="470" t="s">
        <v>818</v>
      </c>
      <c r="F112" s="470"/>
      <c r="G112" s="226"/>
      <c r="H112" s="226"/>
      <c r="I112" s="182" t="s">
        <v>818</v>
      </c>
      <c r="J112" s="248">
        <f>J97</f>
        <v>0.25836160746800957</v>
      </c>
      <c r="K112" s="244" t="s">
        <v>846</v>
      </c>
      <c r="L112" s="245"/>
      <c r="M112" s="182"/>
      <c r="N112" s="182"/>
      <c r="O112" s="241"/>
      <c r="P112" s="241"/>
      <c r="Q112" s="241"/>
      <c r="R112" s="241"/>
      <c r="S112" s="241"/>
      <c r="T112" s="241"/>
      <c r="U112" s="241"/>
      <c r="V112" s="241"/>
      <c r="W112" s="241"/>
      <c r="X112" s="241"/>
    </row>
    <row r="113" spans="1:24" ht="14.25" x14ac:dyDescent="0.15">
      <c r="A113" s="226"/>
      <c r="B113" s="247"/>
      <c r="C113" s="245"/>
      <c r="D113" s="182" t="s">
        <v>869</v>
      </c>
      <c r="E113" s="470" t="s">
        <v>818</v>
      </c>
      <c r="F113" s="470"/>
      <c r="G113" s="226"/>
      <c r="H113" s="226"/>
      <c r="I113" s="182" t="s">
        <v>818</v>
      </c>
      <c r="J113" s="248">
        <f>J112</f>
        <v>0.25836160746800957</v>
      </c>
      <c r="K113" s="244" t="s">
        <v>842</v>
      </c>
      <c r="L113" s="245"/>
      <c r="M113" s="251"/>
      <c r="N113" s="182"/>
      <c r="O113" s="241"/>
      <c r="P113" s="241"/>
      <c r="Q113" s="241"/>
      <c r="R113" s="241"/>
      <c r="S113" s="241"/>
      <c r="T113" s="241"/>
      <c r="U113" s="241"/>
      <c r="V113" s="241"/>
      <c r="W113" s="241"/>
      <c r="X113" s="241"/>
    </row>
    <row r="114" spans="1:24" x14ac:dyDescent="0.15">
      <c r="A114" s="226"/>
      <c r="B114" s="247"/>
      <c r="C114" s="182"/>
      <c r="D114" s="182"/>
      <c r="E114" s="182"/>
      <c r="F114" s="182"/>
      <c r="G114" s="247"/>
      <c r="H114" s="251"/>
      <c r="I114" s="247"/>
      <c r="J114" s="248"/>
      <c r="K114" s="244"/>
      <c r="L114" s="245"/>
      <c r="M114" s="251"/>
      <c r="N114" s="182"/>
      <c r="O114" s="241"/>
      <c r="P114" s="241"/>
      <c r="Q114" s="241"/>
      <c r="R114" s="241"/>
      <c r="S114" s="241"/>
      <c r="T114" s="241"/>
      <c r="U114" s="241"/>
      <c r="V114" s="241"/>
      <c r="W114" s="241"/>
      <c r="X114" s="241"/>
    </row>
    <row r="115" spans="1:24" x14ac:dyDescent="0.15">
      <c r="A115" s="247" t="s">
        <v>884</v>
      </c>
      <c r="B115" s="247"/>
      <c r="C115" s="182"/>
      <c r="D115" s="182"/>
      <c r="E115" s="182"/>
      <c r="F115" s="182"/>
      <c r="G115" s="247"/>
      <c r="H115" s="247"/>
      <c r="I115" s="247"/>
      <c r="J115" s="248"/>
      <c r="K115" s="244"/>
      <c r="L115" s="245"/>
      <c r="M115" s="251"/>
      <c r="N115" s="182"/>
      <c r="O115" s="241"/>
      <c r="P115" s="241"/>
      <c r="Q115" s="241"/>
      <c r="R115" s="241"/>
      <c r="S115" s="241"/>
      <c r="T115" s="241"/>
      <c r="U115" s="241"/>
      <c r="V115" s="241"/>
      <c r="W115" s="241"/>
      <c r="X115" s="241"/>
    </row>
    <row r="116" spans="1:24" x14ac:dyDescent="0.15">
      <c r="A116" s="247"/>
      <c r="B116" s="247"/>
      <c r="C116" s="182"/>
      <c r="D116" s="182"/>
      <c r="E116" s="182"/>
      <c r="F116" s="182"/>
      <c r="G116" s="247"/>
      <c r="H116" s="247"/>
      <c r="I116" s="247"/>
      <c r="J116" s="248"/>
      <c r="K116" s="244"/>
      <c r="L116" s="245"/>
      <c r="M116" s="251"/>
      <c r="N116" s="182"/>
      <c r="O116" s="241"/>
      <c r="P116" s="241"/>
      <c r="Q116" s="241"/>
      <c r="R116" s="241"/>
      <c r="S116" s="241"/>
      <c r="T116" s="241"/>
      <c r="U116" s="241"/>
      <c r="V116" s="241"/>
      <c r="W116" s="241"/>
      <c r="X116" s="241"/>
    </row>
    <row r="117" spans="1:24" x14ac:dyDescent="0.15">
      <c r="A117" s="226"/>
      <c r="B117" s="247" t="s">
        <v>856</v>
      </c>
      <c r="C117" s="245"/>
      <c r="D117" s="182" t="s">
        <v>885</v>
      </c>
      <c r="E117" s="182" t="s">
        <v>818</v>
      </c>
      <c r="F117" s="247" t="s">
        <v>870</v>
      </c>
      <c r="G117" s="245"/>
      <c r="H117" s="247"/>
      <c r="I117" s="182" t="s">
        <v>818</v>
      </c>
      <c r="J117" s="248">
        <f>J100</f>
        <v>0.25836160746800957</v>
      </c>
      <c r="K117" s="244" t="s">
        <v>846</v>
      </c>
      <c r="L117" s="245"/>
      <c r="M117" s="251"/>
      <c r="N117" s="251"/>
      <c r="O117" s="241"/>
      <c r="P117" s="241"/>
      <c r="Q117" s="241"/>
      <c r="R117" s="241"/>
      <c r="S117" s="241"/>
      <c r="T117" s="241"/>
      <c r="U117" s="241"/>
      <c r="V117" s="241"/>
      <c r="W117" s="241"/>
      <c r="X117" s="241"/>
    </row>
    <row r="118" spans="1:24" ht="14.25" x14ac:dyDescent="0.15">
      <c r="A118" s="226"/>
      <c r="B118" s="247"/>
      <c r="C118" s="245"/>
      <c r="D118" s="182" t="s">
        <v>886</v>
      </c>
      <c r="E118" s="182" t="s">
        <v>818</v>
      </c>
      <c r="F118" s="247" t="s">
        <v>887</v>
      </c>
      <c r="G118" s="245"/>
      <c r="H118" s="247"/>
      <c r="I118" s="182" t="s">
        <v>818</v>
      </c>
      <c r="J118" s="268">
        <f>J117/G37</f>
        <v>9.5689484247410944E-2</v>
      </c>
      <c r="K118" s="244" t="s">
        <v>842</v>
      </c>
      <c r="L118" s="245"/>
      <c r="M118" s="251"/>
      <c r="N118" s="251"/>
      <c r="O118" s="241"/>
      <c r="P118" s="241"/>
      <c r="Q118" s="241"/>
      <c r="R118" s="241"/>
      <c r="S118" s="241"/>
      <c r="T118" s="241"/>
      <c r="U118" s="241"/>
      <c r="V118" s="241"/>
      <c r="W118" s="241"/>
      <c r="X118" s="241"/>
    </row>
    <row r="119" spans="1:24" x14ac:dyDescent="0.15">
      <c r="A119" s="226"/>
      <c r="B119" s="247"/>
      <c r="C119" s="245"/>
      <c r="D119" s="182"/>
      <c r="E119" s="182"/>
      <c r="F119" s="247"/>
      <c r="G119" s="245"/>
      <c r="H119" s="247"/>
      <c r="I119" s="182"/>
      <c r="J119" s="248"/>
      <c r="K119" s="244"/>
      <c r="L119" s="245"/>
      <c r="M119" s="251"/>
      <c r="N119" s="251"/>
      <c r="O119" s="241"/>
      <c r="P119" s="241"/>
      <c r="Q119" s="241"/>
      <c r="R119" s="241"/>
      <c r="S119" s="241"/>
      <c r="T119" s="241"/>
      <c r="U119" s="241"/>
      <c r="V119" s="241"/>
      <c r="W119" s="241"/>
      <c r="X119" s="241"/>
    </row>
    <row r="120" spans="1:24" x14ac:dyDescent="0.15">
      <c r="A120" s="226"/>
      <c r="B120" s="247" t="s">
        <v>809</v>
      </c>
      <c r="C120" s="245"/>
      <c r="D120" s="182" t="s">
        <v>888</v>
      </c>
      <c r="E120" s="182" t="s">
        <v>818</v>
      </c>
      <c r="F120" s="247" t="s">
        <v>874</v>
      </c>
      <c r="G120" s="245"/>
      <c r="H120" s="247"/>
      <c r="I120" s="182" t="s">
        <v>818</v>
      </c>
      <c r="J120" s="248">
        <f>J103</f>
        <v>0.25836160746800957</v>
      </c>
      <c r="K120" s="244" t="s">
        <v>846</v>
      </c>
      <c r="L120" s="245"/>
      <c r="M120" s="247"/>
      <c r="N120" s="251"/>
      <c r="O120" s="241"/>
      <c r="P120" s="241"/>
      <c r="Q120" s="241"/>
      <c r="R120" s="241"/>
      <c r="S120" s="241"/>
      <c r="T120" s="241"/>
      <c r="U120" s="241"/>
      <c r="V120" s="241"/>
      <c r="W120" s="241"/>
      <c r="X120" s="241"/>
    </row>
    <row r="121" spans="1:24" ht="14.25" x14ac:dyDescent="0.15">
      <c r="A121" s="226"/>
      <c r="B121" s="247"/>
      <c r="C121" s="245"/>
      <c r="D121" s="182" t="s">
        <v>889</v>
      </c>
      <c r="E121" s="182" t="s">
        <v>818</v>
      </c>
      <c r="F121" s="247" t="s">
        <v>890</v>
      </c>
      <c r="G121" s="245"/>
      <c r="H121" s="247"/>
      <c r="I121" s="182" t="s">
        <v>818</v>
      </c>
      <c r="J121" s="268">
        <f>J120/G37</f>
        <v>9.5689484247410944E-2</v>
      </c>
      <c r="K121" s="244" t="s">
        <v>842</v>
      </c>
      <c r="L121" s="245"/>
      <c r="M121" s="247"/>
      <c r="N121" s="251"/>
      <c r="O121" s="241"/>
      <c r="P121" s="241"/>
      <c r="Q121" s="241"/>
      <c r="R121" s="241"/>
      <c r="S121" s="241"/>
      <c r="T121" s="241"/>
      <c r="U121" s="241"/>
      <c r="V121" s="241"/>
      <c r="W121" s="241"/>
      <c r="X121" s="241"/>
    </row>
    <row r="122" spans="1:24" x14ac:dyDescent="0.15">
      <c r="A122" s="226"/>
      <c r="B122" s="247"/>
      <c r="C122" s="245"/>
      <c r="D122" s="182"/>
      <c r="E122" s="182"/>
      <c r="F122" s="247"/>
      <c r="G122" s="245"/>
      <c r="H122" s="247"/>
      <c r="I122" s="182"/>
      <c r="J122" s="248"/>
      <c r="K122" s="244"/>
      <c r="L122" s="245"/>
      <c r="M122" s="247"/>
      <c r="N122" s="251"/>
      <c r="O122" s="241"/>
      <c r="P122" s="241"/>
      <c r="Q122" s="241"/>
      <c r="R122" s="241"/>
      <c r="S122" s="241"/>
      <c r="T122" s="241"/>
      <c r="U122" s="241"/>
      <c r="V122" s="241"/>
      <c r="W122" s="241"/>
      <c r="X122" s="241"/>
    </row>
    <row r="123" spans="1:24" x14ac:dyDescent="0.15">
      <c r="A123" s="226"/>
      <c r="B123" s="247" t="s">
        <v>857</v>
      </c>
      <c r="C123" s="245"/>
      <c r="D123" s="182" t="s">
        <v>891</v>
      </c>
      <c r="E123" s="182" t="s">
        <v>818</v>
      </c>
      <c r="F123" s="247" t="s">
        <v>892</v>
      </c>
      <c r="G123" s="245"/>
      <c r="H123" s="247"/>
      <c r="I123" s="182" t="s">
        <v>818</v>
      </c>
      <c r="J123" s="248">
        <f>J73+J106</f>
        <v>3.8179527315259718</v>
      </c>
      <c r="K123" s="244" t="s">
        <v>846</v>
      </c>
      <c r="L123" s="245"/>
      <c r="M123" s="247"/>
      <c r="N123" s="251"/>
      <c r="O123" s="241"/>
      <c r="P123" s="241"/>
      <c r="Q123" s="241"/>
      <c r="R123" s="241"/>
      <c r="S123" s="241"/>
      <c r="T123" s="241"/>
      <c r="U123" s="241"/>
      <c r="V123" s="241"/>
      <c r="W123" s="241"/>
      <c r="X123" s="241"/>
    </row>
    <row r="124" spans="1:24" ht="14.25" x14ac:dyDescent="0.15">
      <c r="A124" s="226"/>
      <c r="B124" s="247"/>
      <c r="C124" s="245"/>
      <c r="D124" s="182" t="s">
        <v>893</v>
      </c>
      <c r="E124" s="182" t="s">
        <v>818</v>
      </c>
      <c r="F124" s="247" t="s">
        <v>894</v>
      </c>
      <c r="G124" s="245"/>
      <c r="H124" s="247"/>
      <c r="I124" s="182" t="s">
        <v>818</v>
      </c>
      <c r="J124" s="268">
        <f>J74+J107</f>
        <v>1.4140565672318413</v>
      </c>
      <c r="K124" s="244" t="s">
        <v>842</v>
      </c>
      <c r="L124" s="245"/>
      <c r="M124" s="247"/>
      <c r="N124" s="247"/>
      <c r="O124" s="241"/>
      <c r="P124" s="241"/>
      <c r="Q124" s="241"/>
      <c r="R124" s="241"/>
      <c r="S124" s="241"/>
      <c r="T124" s="241"/>
      <c r="U124" s="241"/>
      <c r="V124" s="241"/>
      <c r="W124" s="241"/>
      <c r="X124" s="241"/>
    </row>
    <row r="125" spans="1:24" x14ac:dyDescent="0.15">
      <c r="A125" s="226"/>
      <c r="B125" s="270"/>
      <c r="C125" s="271"/>
      <c r="D125" s="271"/>
      <c r="E125" s="271"/>
      <c r="F125" s="271"/>
      <c r="G125" s="270"/>
      <c r="H125" s="270"/>
      <c r="I125" s="271"/>
      <c r="J125" s="272"/>
      <c r="K125" s="273"/>
      <c r="L125" s="245"/>
      <c r="M125" s="247"/>
      <c r="N125" s="247"/>
      <c r="O125" s="241"/>
      <c r="P125" s="241"/>
      <c r="Q125" s="241"/>
      <c r="R125" s="241"/>
      <c r="S125" s="241"/>
      <c r="T125" s="241"/>
      <c r="U125" s="241"/>
      <c r="V125" s="241"/>
      <c r="W125" s="241"/>
      <c r="X125" s="241"/>
    </row>
    <row r="126" spans="1:24" x14ac:dyDescent="0.15">
      <c r="A126" s="226"/>
      <c r="B126" s="247" t="s">
        <v>829</v>
      </c>
      <c r="C126" s="245"/>
      <c r="D126" s="182" t="s">
        <v>895</v>
      </c>
      <c r="E126" s="182" t="s">
        <v>818</v>
      </c>
      <c r="F126" s="247" t="s">
        <v>896</v>
      </c>
      <c r="G126" s="245"/>
      <c r="H126" s="247"/>
      <c r="I126" s="182" t="s">
        <v>818</v>
      </c>
      <c r="J126" s="248">
        <f>J73+J109</f>
        <v>4.3346759464619913</v>
      </c>
      <c r="K126" s="244" t="s">
        <v>846</v>
      </c>
      <c r="L126" s="245"/>
      <c r="M126" s="247"/>
      <c r="N126" s="247"/>
      <c r="O126" s="241"/>
      <c r="P126" s="241"/>
      <c r="Q126" s="241"/>
      <c r="R126" s="241"/>
      <c r="S126" s="241"/>
      <c r="T126" s="241"/>
      <c r="U126" s="241"/>
      <c r="V126" s="241"/>
      <c r="W126" s="241"/>
      <c r="X126" s="241"/>
    </row>
    <row r="127" spans="1:24" ht="14.25" x14ac:dyDescent="0.15">
      <c r="A127" s="226"/>
      <c r="B127" s="247"/>
      <c r="C127" s="245"/>
      <c r="D127" s="182" t="s">
        <v>897</v>
      </c>
      <c r="E127" s="182" t="s">
        <v>818</v>
      </c>
      <c r="F127" s="247" t="s">
        <v>898</v>
      </c>
      <c r="G127" s="245"/>
      <c r="H127" s="247"/>
      <c r="I127" s="182" t="s">
        <v>818</v>
      </c>
      <c r="J127" s="268">
        <f>J74+J110</f>
        <v>1.6054355357266632</v>
      </c>
      <c r="K127" s="244" t="s">
        <v>842</v>
      </c>
      <c r="L127" s="245"/>
      <c r="M127" s="247"/>
      <c r="N127" s="247"/>
      <c r="O127" s="241"/>
      <c r="P127" s="241"/>
      <c r="Q127" s="241"/>
      <c r="R127" s="241"/>
      <c r="S127" s="241"/>
      <c r="T127" s="241"/>
      <c r="U127" s="241"/>
      <c r="V127" s="241"/>
      <c r="W127" s="241"/>
      <c r="X127" s="241"/>
    </row>
    <row r="128" spans="1:24" x14ac:dyDescent="0.15">
      <c r="A128" s="226"/>
      <c r="B128" s="247"/>
      <c r="C128" s="245"/>
      <c r="D128" s="182"/>
      <c r="E128" s="182"/>
      <c r="F128" s="247"/>
      <c r="G128" s="245"/>
      <c r="H128" s="247"/>
      <c r="I128" s="182"/>
      <c r="J128" s="248"/>
      <c r="K128" s="244"/>
      <c r="L128" s="245"/>
      <c r="M128" s="247"/>
      <c r="N128" s="247"/>
      <c r="O128" s="241"/>
      <c r="P128" s="241"/>
      <c r="Q128" s="241"/>
      <c r="R128" s="241"/>
      <c r="S128" s="241"/>
      <c r="T128" s="241"/>
      <c r="U128" s="241"/>
      <c r="V128" s="241"/>
      <c r="W128" s="241"/>
      <c r="X128" s="241"/>
    </row>
    <row r="129" spans="1:24" x14ac:dyDescent="0.15">
      <c r="A129" s="226"/>
      <c r="B129" s="247" t="s">
        <v>834</v>
      </c>
      <c r="C129" s="245"/>
      <c r="D129" s="182" t="s">
        <v>899</v>
      </c>
      <c r="E129" s="182" t="s">
        <v>818</v>
      </c>
      <c r="F129" s="247" t="s">
        <v>900</v>
      </c>
      <c r="G129" s="245"/>
      <c r="H129" s="247"/>
      <c r="I129" s="182" t="s">
        <v>818</v>
      </c>
      <c r="J129" s="248">
        <f>J76+J112</f>
        <v>13.551891019232713</v>
      </c>
      <c r="K129" s="244" t="s">
        <v>846</v>
      </c>
      <c r="L129" s="245"/>
      <c r="M129" s="247"/>
      <c r="N129" s="247"/>
      <c r="O129" s="241"/>
      <c r="P129" s="241"/>
      <c r="Q129" s="241"/>
      <c r="R129" s="241"/>
      <c r="S129" s="241"/>
      <c r="T129" s="241"/>
      <c r="U129" s="241"/>
      <c r="V129" s="241"/>
      <c r="W129" s="241"/>
      <c r="X129" s="241"/>
    </row>
    <row r="130" spans="1:24" ht="14.25" x14ac:dyDescent="0.15">
      <c r="A130" s="226"/>
      <c r="B130" s="247"/>
      <c r="C130" s="245"/>
      <c r="D130" s="182" t="s">
        <v>901</v>
      </c>
      <c r="E130" s="182" t="s">
        <v>818</v>
      </c>
      <c r="F130" s="247" t="s">
        <v>902</v>
      </c>
      <c r="G130" s="245"/>
      <c r="H130" s="247"/>
      <c r="I130" s="182" t="s">
        <v>818</v>
      </c>
      <c r="J130" s="248">
        <f>J77+J113</f>
        <v>13.551891019232713</v>
      </c>
      <c r="K130" s="244" t="s">
        <v>842</v>
      </c>
      <c r="L130" s="245"/>
      <c r="M130" s="247"/>
      <c r="N130" s="247"/>
      <c r="O130" s="241"/>
      <c r="P130" s="241"/>
      <c r="Q130" s="241"/>
      <c r="R130" s="241"/>
      <c r="S130" s="241"/>
      <c r="T130" s="241"/>
      <c r="U130" s="241"/>
      <c r="V130" s="241"/>
      <c r="W130" s="241"/>
      <c r="X130" s="241"/>
    </row>
    <row r="131" spans="1:24" x14ac:dyDescent="0.15">
      <c r="A131" s="226"/>
      <c r="B131" s="270"/>
      <c r="C131" s="271"/>
      <c r="D131" s="271"/>
      <c r="E131" s="270"/>
      <c r="F131" s="271"/>
      <c r="G131" s="282"/>
      <c r="H131" s="270"/>
      <c r="I131" s="271"/>
      <c r="J131" s="272"/>
      <c r="K131" s="273"/>
      <c r="L131" s="245"/>
      <c r="M131" s="247"/>
      <c r="N131" s="247"/>
      <c r="O131" s="241"/>
      <c r="P131" s="241"/>
      <c r="Q131" s="241"/>
      <c r="R131" s="241"/>
      <c r="S131" s="241"/>
      <c r="T131" s="241"/>
      <c r="U131" s="241"/>
      <c r="V131" s="241"/>
      <c r="W131" s="241"/>
      <c r="X131" s="241"/>
    </row>
    <row r="132" spans="1:24" x14ac:dyDescent="0.15">
      <c r="A132" s="226"/>
      <c r="B132" s="247" t="s">
        <v>903</v>
      </c>
      <c r="C132" s="245"/>
      <c r="D132" s="182" t="s">
        <v>904</v>
      </c>
      <c r="E132" s="470" t="s">
        <v>818</v>
      </c>
      <c r="F132" s="226" t="s">
        <v>905</v>
      </c>
      <c r="G132" s="245"/>
      <c r="H132" s="226"/>
      <c r="I132" s="182" t="s">
        <v>818</v>
      </c>
      <c r="J132" s="248">
        <f>J126+J129</f>
        <v>17.886566965694705</v>
      </c>
      <c r="K132" s="244" t="s">
        <v>846</v>
      </c>
      <c r="L132" s="245"/>
      <c r="M132" s="247"/>
      <c r="N132" s="247"/>
      <c r="O132" s="241"/>
      <c r="P132" s="241"/>
      <c r="Q132" s="241"/>
      <c r="R132" s="241"/>
      <c r="S132" s="241"/>
      <c r="T132" s="241"/>
      <c r="U132" s="241"/>
      <c r="V132" s="241"/>
      <c r="W132" s="241"/>
      <c r="X132" s="241"/>
    </row>
    <row r="133" spans="1:24" ht="14.25" x14ac:dyDescent="0.15">
      <c r="A133" s="226"/>
      <c r="B133" s="247"/>
      <c r="C133" s="245"/>
      <c r="D133" s="182" t="s">
        <v>906</v>
      </c>
      <c r="E133" s="470" t="s">
        <v>818</v>
      </c>
      <c r="F133" s="226" t="s">
        <v>907</v>
      </c>
      <c r="G133" s="245"/>
      <c r="H133" s="226"/>
      <c r="I133" s="182" t="s">
        <v>818</v>
      </c>
      <c r="J133" s="248">
        <f>J127+J130</f>
        <v>15.157326554959376</v>
      </c>
      <c r="K133" s="244" t="s">
        <v>842</v>
      </c>
      <c r="L133" s="245"/>
      <c r="M133" s="247"/>
      <c r="N133" s="247"/>
      <c r="O133" s="241"/>
      <c r="P133" s="241"/>
      <c r="Q133" s="241"/>
      <c r="R133" s="241"/>
      <c r="S133" s="241"/>
      <c r="T133" s="241"/>
      <c r="U133" s="241"/>
      <c r="V133" s="241"/>
      <c r="W133" s="241"/>
      <c r="X133" s="241"/>
    </row>
    <row r="134" spans="1:24" x14ac:dyDescent="0.15">
      <c r="A134" s="226"/>
      <c r="B134" s="247"/>
      <c r="C134" s="245"/>
      <c r="D134" s="182"/>
      <c r="E134" s="182"/>
      <c r="F134" s="247"/>
      <c r="G134" s="245"/>
      <c r="H134" s="247"/>
      <c r="I134" s="182"/>
      <c r="J134" s="274"/>
      <c r="K134" s="244"/>
      <c r="L134" s="245"/>
      <c r="M134" s="247"/>
      <c r="N134" s="247"/>
      <c r="O134" s="241"/>
      <c r="P134" s="241"/>
      <c r="Q134" s="241"/>
      <c r="R134" s="241"/>
      <c r="S134" s="241"/>
      <c r="T134" s="241"/>
      <c r="U134" s="241"/>
      <c r="V134" s="241"/>
      <c r="W134" s="241"/>
      <c r="X134" s="241"/>
    </row>
    <row r="135" spans="1:24" x14ac:dyDescent="0.15">
      <c r="A135" s="247"/>
      <c r="B135" s="247" t="s">
        <v>908</v>
      </c>
      <c r="C135" s="245"/>
      <c r="D135" s="182" t="s">
        <v>796</v>
      </c>
      <c r="E135" s="182" t="s">
        <v>818</v>
      </c>
      <c r="F135" s="247" t="s">
        <v>909</v>
      </c>
      <c r="G135" s="245"/>
      <c r="H135" s="247"/>
      <c r="I135" s="182" t="s">
        <v>818</v>
      </c>
      <c r="J135" s="268">
        <f>J132/J133</f>
        <v>1.18006080431396</v>
      </c>
      <c r="K135" s="244"/>
      <c r="L135" s="245"/>
      <c r="M135" s="247"/>
      <c r="N135" s="247"/>
      <c r="O135" s="241"/>
      <c r="P135" s="241"/>
      <c r="Q135" s="241"/>
      <c r="R135" s="241"/>
      <c r="S135" s="241"/>
      <c r="T135" s="241"/>
      <c r="U135" s="241"/>
      <c r="V135" s="241"/>
      <c r="W135" s="241"/>
      <c r="X135" s="241"/>
    </row>
    <row r="136" spans="1:24" x14ac:dyDescent="0.15">
      <c r="A136" s="247"/>
      <c r="B136" s="247"/>
      <c r="C136" s="245"/>
      <c r="D136" s="182"/>
      <c r="E136" s="182"/>
      <c r="F136" s="247"/>
      <c r="G136" s="245"/>
      <c r="H136" s="247"/>
      <c r="I136" s="247"/>
      <c r="J136" s="274"/>
      <c r="K136" s="244"/>
      <c r="L136" s="245"/>
      <c r="M136" s="247"/>
      <c r="N136" s="247"/>
      <c r="O136" s="241"/>
      <c r="P136" s="241"/>
      <c r="Q136" s="241"/>
      <c r="R136" s="241"/>
      <c r="S136" s="241"/>
      <c r="T136" s="241"/>
      <c r="U136" s="241"/>
      <c r="V136" s="241"/>
      <c r="W136" s="241"/>
      <c r="X136" s="241"/>
    </row>
    <row r="137" spans="1:24" x14ac:dyDescent="0.15">
      <c r="A137" s="247"/>
      <c r="B137" s="247" t="s">
        <v>816</v>
      </c>
      <c r="C137" s="245"/>
      <c r="D137" s="182" t="s">
        <v>910</v>
      </c>
      <c r="E137" s="182" t="s">
        <v>818</v>
      </c>
      <c r="F137" s="247" t="s">
        <v>911</v>
      </c>
      <c r="G137" s="245"/>
      <c r="H137" s="247"/>
      <c r="I137" s="182" t="s">
        <v>818</v>
      </c>
      <c r="J137" s="268">
        <f>J126/J132*100</f>
        <v>24.234253307387739</v>
      </c>
      <c r="K137" s="244" t="s">
        <v>820</v>
      </c>
      <c r="L137" s="245"/>
      <c r="M137" s="247"/>
      <c r="N137" s="247"/>
      <c r="O137" s="241"/>
      <c r="P137" s="241"/>
      <c r="Q137" s="241"/>
      <c r="R137" s="241"/>
      <c r="S137" s="241"/>
      <c r="T137" s="241"/>
      <c r="U137" s="241"/>
      <c r="V137" s="241"/>
      <c r="W137" s="241"/>
      <c r="X137" s="241"/>
    </row>
    <row r="138" spans="1:24" x14ac:dyDescent="0.15">
      <c r="A138" s="247"/>
      <c r="B138" s="245"/>
      <c r="C138" s="245"/>
      <c r="D138" s="245"/>
      <c r="E138" s="245"/>
      <c r="F138" s="245"/>
      <c r="G138" s="245"/>
      <c r="H138" s="245"/>
      <c r="I138" s="245"/>
      <c r="J138" s="245"/>
      <c r="K138" s="244"/>
      <c r="L138" s="245"/>
      <c r="M138" s="247"/>
      <c r="N138" s="247"/>
      <c r="O138" s="241"/>
      <c r="P138" s="241"/>
      <c r="Q138" s="241"/>
      <c r="R138" s="241"/>
      <c r="S138" s="241"/>
      <c r="T138" s="241"/>
      <c r="U138" s="241"/>
      <c r="V138" s="241"/>
      <c r="W138" s="241"/>
      <c r="X138" s="241"/>
    </row>
    <row r="139" spans="1:24" x14ac:dyDescent="0.15">
      <c r="A139" s="247" t="s">
        <v>912</v>
      </c>
      <c r="B139" s="247"/>
      <c r="C139" s="182"/>
      <c r="D139" s="182"/>
      <c r="E139" s="182"/>
      <c r="F139" s="182"/>
      <c r="G139" s="247"/>
      <c r="H139" s="247"/>
      <c r="I139" s="247"/>
      <c r="J139" s="248"/>
      <c r="K139" s="244"/>
      <c r="L139" s="245"/>
      <c r="M139" s="247"/>
      <c r="N139" s="247"/>
      <c r="O139" s="241"/>
      <c r="P139" s="241"/>
      <c r="Q139" s="241"/>
      <c r="R139" s="241"/>
      <c r="S139" s="241"/>
      <c r="T139" s="241"/>
      <c r="U139" s="241"/>
      <c r="V139" s="241"/>
      <c r="W139" s="241"/>
      <c r="X139" s="241"/>
    </row>
    <row r="140" spans="1:24" x14ac:dyDescent="0.15">
      <c r="A140" s="247"/>
      <c r="B140" s="247"/>
      <c r="C140" s="182"/>
      <c r="D140" s="182"/>
      <c r="E140" s="182"/>
      <c r="F140" s="182"/>
      <c r="G140" s="247"/>
      <c r="H140" s="247"/>
      <c r="I140" s="247"/>
      <c r="J140" s="248"/>
      <c r="K140" s="244"/>
      <c r="L140" s="245"/>
      <c r="M140" s="247"/>
      <c r="N140" s="247"/>
      <c r="O140" s="241"/>
      <c r="P140" s="241"/>
      <c r="Q140" s="241"/>
      <c r="R140" s="241"/>
      <c r="S140" s="241"/>
      <c r="T140" s="241"/>
      <c r="U140" s="241"/>
      <c r="V140" s="241"/>
      <c r="W140" s="241"/>
      <c r="X140" s="241"/>
    </row>
    <row r="141" spans="1:24" x14ac:dyDescent="0.15">
      <c r="A141" s="247" t="s">
        <v>913</v>
      </c>
      <c r="B141" s="226"/>
      <c r="C141" s="182"/>
      <c r="D141" s="182"/>
      <c r="E141" s="182"/>
      <c r="F141" s="182"/>
      <c r="G141" s="247"/>
      <c r="H141" s="247"/>
      <c r="I141" s="247"/>
      <c r="J141" s="248"/>
      <c r="K141" s="244"/>
      <c r="L141" s="245"/>
      <c r="M141" s="247"/>
      <c r="N141" s="247"/>
      <c r="O141" s="241"/>
      <c r="P141" s="241"/>
      <c r="Q141" s="241"/>
      <c r="R141" s="241"/>
      <c r="S141" s="241"/>
      <c r="T141" s="241"/>
      <c r="U141" s="241"/>
      <c r="V141" s="241"/>
      <c r="W141" s="241"/>
      <c r="X141" s="241"/>
    </row>
    <row r="142" spans="1:24" x14ac:dyDescent="0.15">
      <c r="A142" s="283" t="s">
        <v>914</v>
      </c>
      <c r="B142" s="247" t="s">
        <v>915</v>
      </c>
      <c r="C142" s="470"/>
      <c r="D142" s="182"/>
      <c r="E142" s="182"/>
      <c r="F142" s="182"/>
      <c r="G142" s="247"/>
      <c r="H142" s="247"/>
      <c r="I142" s="247"/>
      <c r="J142" s="248"/>
      <c r="K142" s="244"/>
      <c r="L142" s="245"/>
      <c r="M142" s="247"/>
      <c r="N142" s="247"/>
      <c r="O142" s="241"/>
      <c r="P142" s="241"/>
      <c r="Q142" s="241"/>
      <c r="R142" s="241"/>
      <c r="S142" s="241"/>
      <c r="T142" s="241"/>
      <c r="U142" s="241"/>
      <c r="V142" s="241"/>
      <c r="W142" s="241"/>
      <c r="X142" s="241"/>
    </row>
    <row r="143" spans="1:24" x14ac:dyDescent="0.15">
      <c r="A143" s="283" t="s">
        <v>914</v>
      </c>
      <c r="B143" s="247" t="s">
        <v>916</v>
      </c>
      <c r="C143" s="470"/>
      <c r="D143" s="182"/>
      <c r="E143" s="182"/>
      <c r="F143" s="182"/>
      <c r="G143" s="247"/>
      <c r="H143" s="247"/>
      <c r="I143" s="247"/>
      <c r="J143" s="248"/>
      <c r="K143" s="244"/>
      <c r="L143" s="245"/>
      <c r="M143" s="182"/>
      <c r="N143" s="247"/>
      <c r="O143" s="241"/>
      <c r="P143" s="241"/>
      <c r="Q143" s="241"/>
      <c r="R143" s="241"/>
      <c r="S143" s="241"/>
      <c r="T143" s="241"/>
      <c r="U143" s="241"/>
      <c r="V143" s="241"/>
      <c r="W143" s="241"/>
      <c r="X143" s="241"/>
    </row>
    <row r="144" spans="1:24" x14ac:dyDescent="0.15">
      <c r="A144" s="283"/>
      <c r="B144" s="247" t="s">
        <v>917</v>
      </c>
      <c r="C144" s="470"/>
      <c r="D144" s="182"/>
      <c r="E144" s="182"/>
      <c r="F144" s="182"/>
      <c r="G144" s="247"/>
      <c r="H144" s="247"/>
      <c r="I144" s="247"/>
      <c r="J144" s="248"/>
      <c r="K144" s="244"/>
      <c r="L144" s="245"/>
      <c r="M144" s="182"/>
      <c r="N144" s="247"/>
      <c r="O144" s="241"/>
      <c r="P144" s="241"/>
      <c r="Q144" s="241"/>
      <c r="R144" s="241"/>
      <c r="S144" s="241"/>
      <c r="T144" s="241"/>
      <c r="U144" s="241"/>
      <c r="V144" s="241"/>
      <c r="W144" s="241"/>
      <c r="X144" s="241"/>
    </row>
    <row r="145" spans="1:24" x14ac:dyDescent="0.15">
      <c r="A145" s="283" t="s">
        <v>914</v>
      </c>
      <c r="B145" s="247" t="s">
        <v>918</v>
      </c>
      <c r="C145" s="470"/>
      <c r="D145" s="182"/>
      <c r="E145" s="182"/>
      <c r="F145" s="182"/>
      <c r="G145" s="247"/>
      <c r="H145" s="247"/>
      <c r="I145" s="247"/>
      <c r="J145" s="248"/>
      <c r="K145" s="244"/>
      <c r="L145" s="245"/>
      <c r="M145" s="182"/>
      <c r="N145" s="247"/>
      <c r="O145" s="241"/>
      <c r="P145" s="241"/>
      <c r="Q145" s="241"/>
      <c r="R145" s="241"/>
      <c r="S145" s="241"/>
      <c r="T145" s="241"/>
      <c r="U145" s="241"/>
      <c r="V145" s="241"/>
      <c r="W145" s="241"/>
      <c r="X145" s="241"/>
    </row>
    <row r="146" spans="1:24" x14ac:dyDescent="0.15">
      <c r="A146" s="247"/>
      <c r="B146" s="247"/>
      <c r="C146" s="182"/>
      <c r="D146" s="182"/>
      <c r="E146" s="182"/>
      <c r="F146" s="182"/>
      <c r="G146" s="247"/>
      <c r="H146" s="247"/>
      <c r="I146" s="247"/>
      <c r="J146" s="248"/>
      <c r="K146" s="244"/>
      <c r="L146" s="245"/>
      <c r="M146" s="182"/>
      <c r="N146" s="182"/>
      <c r="O146" s="241"/>
      <c r="P146" s="241"/>
      <c r="Q146" s="241"/>
      <c r="R146" s="241"/>
      <c r="S146" s="241"/>
      <c r="T146" s="241"/>
      <c r="U146" s="241"/>
      <c r="V146" s="241"/>
      <c r="W146" s="241"/>
      <c r="X146" s="241"/>
    </row>
    <row r="147" spans="1:24" x14ac:dyDescent="0.15">
      <c r="A147" s="226"/>
      <c r="B147" s="247" t="s">
        <v>856</v>
      </c>
      <c r="C147" s="245"/>
      <c r="D147" s="182" t="s">
        <v>919</v>
      </c>
      <c r="E147" s="182" t="s">
        <v>818</v>
      </c>
      <c r="F147" s="247" t="s">
        <v>885</v>
      </c>
      <c r="G147" s="245"/>
      <c r="H147" s="247"/>
      <c r="I147" s="182" t="s">
        <v>818</v>
      </c>
      <c r="J147" s="248">
        <f>J100</f>
        <v>0.25836160746800957</v>
      </c>
      <c r="K147" s="244" t="s">
        <v>846</v>
      </c>
      <c r="L147" s="245"/>
      <c r="M147" s="182"/>
      <c r="N147" s="182"/>
      <c r="O147" s="241"/>
      <c r="P147" s="241"/>
      <c r="Q147" s="241"/>
      <c r="R147" s="241"/>
      <c r="S147" s="241"/>
      <c r="T147" s="241"/>
      <c r="U147" s="241"/>
      <c r="V147" s="241"/>
      <c r="W147" s="241"/>
      <c r="X147" s="241"/>
    </row>
    <row r="148" spans="1:24" ht="14.25" x14ac:dyDescent="0.15">
      <c r="A148" s="226"/>
      <c r="B148" s="247"/>
      <c r="C148" s="245"/>
      <c r="D148" s="182" t="s">
        <v>920</v>
      </c>
      <c r="E148" s="182" t="s">
        <v>818</v>
      </c>
      <c r="F148" s="247" t="s">
        <v>921</v>
      </c>
      <c r="G148" s="245"/>
      <c r="H148" s="247"/>
      <c r="I148" s="182" t="s">
        <v>818</v>
      </c>
      <c r="J148" s="268">
        <f>J147/G37</f>
        <v>9.5689484247410944E-2</v>
      </c>
      <c r="K148" s="244" t="s">
        <v>842</v>
      </c>
      <c r="L148" s="245"/>
      <c r="M148" s="182"/>
      <c r="N148" s="182"/>
      <c r="O148" s="241"/>
      <c r="P148" s="241"/>
      <c r="Q148" s="241"/>
      <c r="R148" s="241"/>
      <c r="S148" s="241"/>
      <c r="T148" s="241"/>
      <c r="U148" s="241"/>
      <c r="V148" s="241"/>
      <c r="W148" s="241"/>
      <c r="X148" s="241"/>
    </row>
    <row r="149" spans="1:24" x14ac:dyDescent="0.15">
      <c r="A149" s="226"/>
      <c r="B149" s="247"/>
      <c r="C149" s="245"/>
      <c r="D149" s="182"/>
      <c r="E149" s="182"/>
      <c r="F149" s="247"/>
      <c r="G149" s="245"/>
      <c r="H149" s="247"/>
      <c r="I149" s="182"/>
      <c r="J149" s="248"/>
      <c r="K149" s="244"/>
      <c r="L149" s="245"/>
      <c r="M149" s="182"/>
      <c r="N149" s="182"/>
      <c r="O149" s="241"/>
      <c r="P149" s="241"/>
      <c r="Q149" s="241"/>
      <c r="R149" s="241"/>
      <c r="S149" s="241"/>
      <c r="T149" s="241"/>
      <c r="U149" s="241"/>
      <c r="V149" s="241"/>
      <c r="W149" s="241"/>
      <c r="X149" s="241"/>
    </row>
    <row r="150" spans="1:24" x14ac:dyDescent="0.15">
      <c r="A150" s="226"/>
      <c r="B150" s="247" t="s">
        <v>809</v>
      </c>
      <c r="C150" s="245"/>
      <c r="D150" s="182" t="s">
        <v>922</v>
      </c>
      <c r="E150" s="182" t="s">
        <v>818</v>
      </c>
      <c r="F150" s="247" t="s">
        <v>888</v>
      </c>
      <c r="G150" s="245"/>
      <c r="H150" s="247"/>
      <c r="I150" s="182" t="s">
        <v>818</v>
      </c>
      <c r="J150" s="248">
        <f>J103</f>
        <v>0.25836160746800957</v>
      </c>
      <c r="K150" s="244" t="s">
        <v>846</v>
      </c>
      <c r="L150" s="245"/>
      <c r="M150" s="182"/>
      <c r="N150" s="182"/>
      <c r="O150" s="241"/>
      <c r="P150" s="241"/>
      <c r="Q150" s="241"/>
      <c r="R150" s="241"/>
      <c r="S150" s="241"/>
      <c r="T150" s="241"/>
      <c r="U150" s="241"/>
      <c r="V150" s="241"/>
      <c r="W150" s="241"/>
      <c r="X150" s="241"/>
    </row>
    <row r="151" spans="1:24" ht="14.25" x14ac:dyDescent="0.15">
      <c r="A151" s="226"/>
      <c r="B151" s="247"/>
      <c r="C151" s="245"/>
      <c r="D151" s="182" t="s">
        <v>923</v>
      </c>
      <c r="E151" s="182" t="s">
        <v>818</v>
      </c>
      <c r="F151" s="247" t="s">
        <v>924</v>
      </c>
      <c r="G151" s="245"/>
      <c r="H151" s="247"/>
      <c r="I151" s="182" t="s">
        <v>818</v>
      </c>
      <c r="J151" s="268">
        <f>J150/G37</f>
        <v>9.5689484247410944E-2</v>
      </c>
      <c r="K151" s="244" t="s">
        <v>842</v>
      </c>
      <c r="L151" s="245"/>
      <c r="M151" s="182"/>
      <c r="N151" s="182"/>
      <c r="O151" s="241"/>
      <c r="P151" s="241"/>
      <c r="Q151" s="241"/>
      <c r="R151" s="241"/>
      <c r="S151" s="241"/>
      <c r="T151" s="241"/>
      <c r="U151" s="241"/>
      <c r="V151" s="241"/>
      <c r="W151" s="241"/>
      <c r="X151" s="241"/>
    </row>
    <row r="152" spans="1:24" x14ac:dyDescent="0.15">
      <c r="A152" s="226"/>
      <c r="B152" s="247"/>
      <c r="C152" s="245"/>
      <c r="D152" s="182"/>
      <c r="E152" s="182"/>
      <c r="F152" s="247"/>
      <c r="G152" s="245"/>
      <c r="H152" s="247"/>
      <c r="I152" s="182"/>
      <c r="J152" s="248"/>
      <c r="K152" s="244"/>
      <c r="L152" s="245"/>
      <c r="M152" s="182"/>
      <c r="N152" s="182"/>
      <c r="O152" s="241"/>
      <c r="P152" s="241"/>
      <c r="Q152" s="241"/>
      <c r="R152" s="241"/>
      <c r="S152" s="241"/>
      <c r="T152" s="241"/>
      <c r="U152" s="241"/>
      <c r="V152" s="241"/>
      <c r="W152" s="241"/>
      <c r="X152" s="241"/>
    </row>
    <row r="153" spans="1:24" x14ac:dyDescent="0.15">
      <c r="A153" s="226"/>
      <c r="B153" s="247" t="s">
        <v>925</v>
      </c>
      <c r="C153" s="245"/>
      <c r="D153" s="182" t="s">
        <v>926</v>
      </c>
      <c r="E153" s="182" t="s">
        <v>818</v>
      </c>
      <c r="F153" s="284" t="s">
        <v>927</v>
      </c>
      <c r="G153" s="245"/>
      <c r="H153" s="247"/>
      <c r="I153" s="182" t="s">
        <v>818</v>
      </c>
      <c r="J153" s="248">
        <f>(J147*0.1+J150*0.4)*J123/(J129+J123)</f>
        <v>2.8394394880807243E-2</v>
      </c>
      <c r="K153" s="244" t="s">
        <v>846</v>
      </c>
      <c r="L153" s="245"/>
      <c r="M153" s="182"/>
      <c r="N153" s="182"/>
      <c r="O153" s="241"/>
      <c r="P153" s="241"/>
      <c r="Q153" s="241"/>
      <c r="R153" s="241"/>
      <c r="S153" s="241"/>
      <c r="T153" s="241"/>
      <c r="U153" s="241"/>
      <c r="V153" s="241"/>
      <c r="W153" s="241"/>
      <c r="X153" s="241"/>
    </row>
    <row r="154" spans="1:24" ht="14.25" x14ac:dyDescent="0.15">
      <c r="A154" s="226"/>
      <c r="B154" s="247"/>
      <c r="C154" s="245"/>
      <c r="D154" s="182" t="s">
        <v>928</v>
      </c>
      <c r="E154" s="182" t="s">
        <v>818</v>
      </c>
      <c r="F154" s="247" t="s">
        <v>929</v>
      </c>
      <c r="G154" s="245"/>
      <c r="H154" s="247"/>
      <c r="I154" s="182" t="s">
        <v>818</v>
      </c>
      <c r="J154" s="268">
        <f>J153/G37</f>
        <v>1.0516442548447127E-2</v>
      </c>
      <c r="K154" s="244" t="s">
        <v>842</v>
      </c>
      <c r="L154" s="245"/>
      <c r="M154" s="182"/>
      <c r="N154" s="182"/>
      <c r="O154" s="241"/>
      <c r="P154" s="241"/>
      <c r="Q154" s="241"/>
      <c r="R154" s="241"/>
      <c r="S154" s="241"/>
      <c r="T154" s="241"/>
      <c r="U154" s="241"/>
      <c r="V154" s="241"/>
      <c r="W154" s="241"/>
      <c r="X154" s="241"/>
    </row>
    <row r="155" spans="1:24" x14ac:dyDescent="0.15">
      <c r="A155" s="226"/>
      <c r="B155" s="270"/>
      <c r="C155" s="271"/>
      <c r="D155" s="271"/>
      <c r="E155" s="271"/>
      <c r="F155" s="271"/>
      <c r="G155" s="270"/>
      <c r="H155" s="270"/>
      <c r="I155" s="270"/>
      <c r="J155" s="272"/>
      <c r="K155" s="273"/>
      <c r="L155" s="245"/>
      <c r="M155" s="182"/>
      <c r="N155" s="182"/>
      <c r="O155" s="241"/>
      <c r="P155" s="241"/>
      <c r="Q155" s="241"/>
      <c r="R155" s="241"/>
      <c r="S155" s="241"/>
      <c r="T155" s="241"/>
      <c r="U155" s="241"/>
      <c r="V155" s="241"/>
      <c r="W155" s="241"/>
      <c r="X155" s="241"/>
    </row>
    <row r="156" spans="1:24" x14ac:dyDescent="0.15">
      <c r="A156" s="226"/>
      <c r="B156" s="247" t="s">
        <v>829</v>
      </c>
      <c r="C156" s="245"/>
      <c r="D156" s="182" t="s">
        <v>930</v>
      </c>
      <c r="E156" s="182" t="s">
        <v>818</v>
      </c>
      <c r="F156" s="247" t="s">
        <v>931</v>
      </c>
      <c r="G156" s="245"/>
      <c r="H156" s="247"/>
      <c r="I156" s="182" t="s">
        <v>818</v>
      </c>
      <c r="J156" s="248">
        <f>J147+J150+J153</f>
        <v>0.54511760981682633</v>
      </c>
      <c r="K156" s="244" t="s">
        <v>846</v>
      </c>
      <c r="L156" s="245"/>
      <c r="M156" s="182"/>
      <c r="N156" s="182"/>
      <c r="O156" s="241"/>
      <c r="P156" s="241"/>
      <c r="Q156" s="241"/>
      <c r="R156" s="241"/>
      <c r="S156" s="241"/>
      <c r="T156" s="241"/>
      <c r="U156" s="241"/>
      <c r="V156" s="241"/>
      <c r="W156" s="241"/>
      <c r="X156" s="241"/>
    </row>
    <row r="157" spans="1:24" ht="14.25" x14ac:dyDescent="0.15">
      <c r="A157" s="226"/>
      <c r="B157" s="247"/>
      <c r="C157" s="245"/>
      <c r="D157" s="182" t="s">
        <v>932</v>
      </c>
      <c r="E157" s="182" t="s">
        <v>818</v>
      </c>
      <c r="F157" s="247" t="s">
        <v>933</v>
      </c>
      <c r="G157" s="245"/>
      <c r="H157" s="247"/>
      <c r="I157" s="182" t="s">
        <v>818</v>
      </c>
      <c r="J157" s="268">
        <f>J148+J151+J154</f>
        <v>0.20189541104326902</v>
      </c>
      <c r="K157" s="244" t="s">
        <v>842</v>
      </c>
      <c r="L157" s="245"/>
      <c r="M157" s="182"/>
      <c r="N157" s="182"/>
      <c r="O157" s="241"/>
      <c r="P157" s="241"/>
      <c r="Q157" s="241"/>
      <c r="R157" s="241"/>
      <c r="S157" s="241"/>
      <c r="T157" s="241"/>
      <c r="U157" s="241"/>
      <c r="V157" s="241"/>
      <c r="W157" s="241"/>
      <c r="X157" s="241"/>
    </row>
    <row r="158" spans="1:24" x14ac:dyDescent="0.15">
      <c r="A158" s="226"/>
      <c r="B158" s="247"/>
      <c r="C158" s="245"/>
      <c r="D158" s="182"/>
      <c r="E158" s="182"/>
      <c r="F158" s="247"/>
      <c r="G158" s="245"/>
      <c r="H158" s="247"/>
      <c r="I158" s="182"/>
      <c r="J158" s="248"/>
      <c r="K158" s="244"/>
      <c r="L158" s="245"/>
      <c r="M158" s="247"/>
      <c r="N158" s="182"/>
      <c r="O158" s="241"/>
      <c r="P158" s="241"/>
      <c r="Q158" s="241"/>
      <c r="R158" s="241"/>
      <c r="S158" s="241"/>
      <c r="T158" s="241"/>
      <c r="U158" s="241"/>
      <c r="V158" s="241"/>
      <c r="W158" s="241"/>
      <c r="X158" s="241"/>
    </row>
    <row r="159" spans="1:24" x14ac:dyDescent="0.15">
      <c r="A159" s="226"/>
      <c r="B159" s="247" t="s">
        <v>834</v>
      </c>
      <c r="C159" s="245"/>
      <c r="D159" s="182" t="s">
        <v>934</v>
      </c>
      <c r="E159" s="182" t="s">
        <v>818</v>
      </c>
      <c r="F159" s="247" t="s">
        <v>935</v>
      </c>
      <c r="G159" s="245"/>
      <c r="H159" s="247"/>
      <c r="I159" s="182" t="s">
        <v>818</v>
      </c>
      <c r="J159" s="248">
        <f>(J147*0.1+J150*0.4)-J153</f>
        <v>0.10078640885319753</v>
      </c>
      <c r="K159" s="244" t="s">
        <v>846</v>
      </c>
      <c r="L159" s="245"/>
      <c r="M159" s="247"/>
      <c r="N159" s="182"/>
      <c r="O159" s="241"/>
      <c r="P159" s="241"/>
      <c r="Q159" s="241"/>
      <c r="R159" s="241"/>
      <c r="S159" s="241"/>
      <c r="T159" s="241"/>
      <c r="U159" s="241"/>
      <c r="V159" s="241"/>
      <c r="W159" s="241"/>
      <c r="X159" s="241"/>
    </row>
    <row r="160" spans="1:24" ht="14.25" x14ac:dyDescent="0.15">
      <c r="A160" s="247"/>
      <c r="B160" s="247"/>
      <c r="C160" s="245"/>
      <c r="D160" s="182" t="s">
        <v>936</v>
      </c>
      <c r="E160" s="182" t="s">
        <v>818</v>
      </c>
      <c r="F160" s="247" t="s">
        <v>934</v>
      </c>
      <c r="G160" s="245"/>
      <c r="H160" s="247"/>
      <c r="I160" s="182" t="s">
        <v>818</v>
      </c>
      <c r="J160" s="248">
        <f>J159</f>
        <v>0.10078640885319753</v>
      </c>
      <c r="K160" s="244" t="s">
        <v>842</v>
      </c>
      <c r="L160" s="245"/>
      <c r="M160" s="247"/>
      <c r="N160" s="182"/>
      <c r="O160" s="241"/>
      <c r="P160" s="241"/>
      <c r="Q160" s="241"/>
      <c r="R160" s="241"/>
      <c r="S160" s="241"/>
      <c r="T160" s="241"/>
      <c r="U160" s="241"/>
      <c r="V160" s="241"/>
      <c r="W160" s="241"/>
      <c r="X160" s="241"/>
    </row>
    <row r="161" spans="1:24" x14ac:dyDescent="0.15">
      <c r="A161" s="226"/>
      <c r="B161" s="270"/>
      <c r="C161" s="271"/>
      <c r="D161" s="271"/>
      <c r="E161" s="271"/>
      <c r="F161" s="271"/>
      <c r="G161" s="270"/>
      <c r="H161" s="270"/>
      <c r="I161" s="271"/>
      <c r="J161" s="272"/>
      <c r="K161" s="273"/>
      <c r="L161" s="245"/>
      <c r="M161" s="247"/>
      <c r="N161" s="182"/>
      <c r="O161" s="241"/>
      <c r="P161" s="241"/>
      <c r="Q161" s="241"/>
      <c r="R161" s="241"/>
      <c r="S161" s="241"/>
      <c r="T161" s="241"/>
      <c r="U161" s="241"/>
      <c r="V161" s="241"/>
      <c r="W161" s="241"/>
      <c r="X161" s="241"/>
    </row>
    <row r="162" spans="1:24" x14ac:dyDescent="0.15">
      <c r="A162" s="226"/>
      <c r="B162" s="247" t="s">
        <v>903</v>
      </c>
      <c r="C162" s="245"/>
      <c r="D162" s="182" t="s">
        <v>937</v>
      </c>
      <c r="E162" s="182" t="s">
        <v>818</v>
      </c>
      <c r="F162" s="247" t="s">
        <v>938</v>
      </c>
      <c r="G162" s="245"/>
      <c r="H162" s="247"/>
      <c r="I162" s="182" t="s">
        <v>818</v>
      </c>
      <c r="J162" s="248">
        <f>J156+J159</f>
        <v>0.64590401867002389</v>
      </c>
      <c r="K162" s="244" t="s">
        <v>846</v>
      </c>
      <c r="L162" s="245"/>
      <c r="M162" s="247"/>
      <c r="N162" s="182"/>
      <c r="O162" s="241"/>
      <c r="P162" s="241"/>
      <c r="Q162" s="241"/>
      <c r="R162" s="241"/>
      <c r="S162" s="241"/>
      <c r="T162" s="241"/>
      <c r="U162" s="241"/>
      <c r="V162" s="241"/>
      <c r="W162" s="241"/>
      <c r="X162" s="241"/>
    </row>
    <row r="163" spans="1:24" ht="14.25" x14ac:dyDescent="0.15">
      <c r="A163" s="226"/>
      <c r="B163" s="247"/>
      <c r="C163" s="245"/>
      <c r="D163" s="182" t="s">
        <v>939</v>
      </c>
      <c r="E163" s="182" t="s">
        <v>818</v>
      </c>
      <c r="F163" s="247" t="s">
        <v>940</v>
      </c>
      <c r="G163" s="245"/>
      <c r="H163" s="247"/>
      <c r="I163" s="182" t="s">
        <v>818</v>
      </c>
      <c r="J163" s="248">
        <f>J157+J160</f>
        <v>0.30268181989646659</v>
      </c>
      <c r="K163" s="244" t="s">
        <v>842</v>
      </c>
      <c r="L163" s="245"/>
      <c r="M163" s="247"/>
      <c r="N163" s="247"/>
      <c r="O163" s="241"/>
      <c r="P163" s="241"/>
      <c r="Q163" s="241"/>
      <c r="R163" s="241"/>
      <c r="S163" s="241"/>
      <c r="T163" s="241"/>
      <c r="U163" s="241"/>
      <c r="V163" s="241"/>
      <c r="W163" s="241"/>
      <c r="X163" s="241"/>
    </row>
    <row r="164" spans="1:24" x14ac:dyDescent="0.15">
      <c r="A164" s="226"/>
      <c r="B164" s="247"/>
      <c r="C164" s="245"/>
      <c r="D164" s="182"/>
      <c r="E164" s="182"/>
      <c r="F164" s="247"/>
      <c r="G164" s="245"/>
      <c r="H164" s="247"/>
      <c r="I164" s="182"/>
      <c r="J164" s="248"/>
      <c r="K164" s="244"/>
      <c r="L164" s="245"/>
      <c r="M164" s="247"/>
      <c r="N164" s="247"/>
      <c r="O164" s="241"/>
      <c r="P164" s="241"/>
      <c r="Q164" s="241"/>
      <c r="R164" s="241"/>
      <c r="S164" s="241"/>
      <c r="T164" s="241"/>
      <c r="U164" s="241"/>
      <c r="V164" s="241"/>
      <c r="W164" s="241"/>
      <c r="X164" s="241"/>
    </row>
    <row r="165" spans="1:24" x14ac:dyDescent="0.15">
      <c r="A165" s="226"/>
      <c r="B165" s="247" t="s">
        <v>157</v>
      </c>
      <c r="C165" s="245"/>
      <c r="D165" s="182"/>
      <c r="E165" s="182" t="s">
        <v>818</v>
      </c>
      <c r="F165" s="247" t="s">
        <v>941</v>
      </c>
      <c r="G165" s="245"/>
      <c r="H165" s="247"/>
      <c r="I165" s="182" t="s">
        <v>818</v>
      </c>
      <c r="J165" s="248">
        <f>J159/J156*100</f>
        <v>18.488929184853227</v>
      </c>
      <c r="K165" s="244" t="s">
        <v>855</v>
      </c>
      <c r="L165" s="245"/>
      <c r="M165" s="247"/>
      <c r="N165" s="247"/>
      <c r="O165" s="241"/>
      <c r="P165" s="241"/>
      <c r="Q165" s="241"/>
      <c r="R165" s="241"/>
      <c r="S165" s="241"/>
      <c r="T165" s="241"/>
      <c r="U165" s="241"/>
      <c r="V165" s="241"/>
      <c r="W165" s="241"/>
      <c r="X165" s="241"/>
    </row>
    <row r="166" spans="1:24" x14ac:dyDescent="0.15">
      <c r="A166" s="226"/>
      <c r="B166" s="247"/>
      <c r="C166" s="182"/>
      <c r="D166" s="182"/>
      <c r="E166" s="182"/>
      <c r="F166" s="182"/>
      <c r="G166" s="247"/>
      <c r="H166" s="247"/>
      <c r="I166" s="247"/>
      <c r="J166" s="248"/>
      <c r="K166" s="244"/>
      <c r="L166" s="245"/>
      <c r="M166" s="247"/>
      <c r="N166" s="247"/>
      <c r="O166" s="241"/>
      <c r="P166" s="241"/>
      <c r="Q166" s="241"/>
      <c r="R166" s="241"/>
      <c r="S166" s="241"/>
      <c r="T166" s="241"/>
      <c r="U166" s="241"/>
      <c r="V166" s="241"/>
      <c r="W166" s="241"/>
      <c r="X166" s="241"/>
    </row>
    <row r="167" spans="1:24" x14ac:dyDescent="0.15">
      <c r="A167" s="247" t="s">
        <v>942</v>
      </c>
      <c r="B167" s="247"/>
      <c r="C167" s="182"/>
      <c r="D167" s="182"/>
      <c r="E167" s="182"/>
      <c r="F167" s="182"/>
      <c r="G167" s="247"/>
      <c r="H167" s="247"/>
      <c r="I167" s="247"/>
      <c r="J167" s="274"/>
      <c r="K167" s="244"/>
      <c r="L167" s="245"/>
      <c r="M167" s="247"/>
      <c r="N167" s="247"/>
      <c r="O167" s="241"/>
      <c r="P167" s="241"/>
      <c r="Q167" s="241"/>
      <c r="R167" s="241"/>
      <c r="S167" s="241"/>
      <c r="T167" s="241"/>
      <c r="U167" s="241"/>
      <c r="V167" s="241"/>
      <c r="W167" s="241"/>
      <c r="X167" s="241"/>
    </row>
    <row r="168" spans="1:24" x14ac:dyDescent="0.15">
      <c r="A168" s="247"/>
      <c r="B168" s="247"/>
      <c r="C168" s="182"/>
      <c r="D168" s="182"/>
      <c r="E168" s="182"/>
      <c r="F168" s="182"/>
      <c r="G168" s="247"/>
      <c r="H168" s="247"/>
      <c r="I168" s="247"/>
      <c r="J168" s="274"/>
      <c r="K168" s="244"/>
      <c r="L168" s="245"/>
      <c r="M168" s="247"/>
      <c r="N168" s="247"/>
      <c r="O168" s="241"/>
      <c r="P168" s="241"/>
      <c r="Q168" s="241"/>
      <c r="R168" s="241"/>
      <c r="S168" s="241"/>
      <c r="T168" s="241"/>
      <c r="U168" s="241"/>
      <c r="V168" s="241"/>
      <c r="W168" s="241"/>
      <c r="X168" s="241"/>
    </row>
    <row r="169" spans="1:24" x14ac:dyDescent="0.15">
      <c r="A169" s="226"/>
      <c r="B169" s="247" t="s">
        <v>829</v>
      </c>
      <c r="C169" s="245"/>
      <c r="D169" s="182" t="s">
        <v>943</v>
      </c>
      <c r="E169" s="182" t="s">
        <v>818</v>
      </c>
      <c r="F169" s="247" t="s">
        <v>944</v>
      </c>
      <c r="G169" s="245"/>
      <c r="H169" s="247"/>
      <c r="I169" s="182" t="s">
        <v>818</v>
      </c>
      <c r="J169" s="248">
        <f>J126-J156</f>
        <v>3.7895583366451651</v>
      </c>
      <c r="K169" s="244" t="s">
        <v>846</v>
      </c>
      <c r="L169" s="245"/>
      <c r="M169" s="247"/>
      <c r="N169" s="247"/>
      <c r="O169" s="241"/>
      <c r="P169" s="241"/>
      <c r="Q169" s="241"/>
      <c r="R169" s="241"/>
      <c r="S169" s="241"/>
      <c r="T169" s="241"/>
      <c r="U169" s="241"/>
      <c r="V169" s="241"/>
      <c r="W169" s="241"/>
      <c r="X169" s="241"/>
    </row>
    <row r="170" spans="1:24" ht="14.25" x14ac:dyDescent="0.15">
      <c r="A170" s="226"/>
      <c r="B170" s="247"/>
      <c r="C170" s="245"/>
      <c r="D170" s="182" t="s">
        <v>945</v>
      </c>
      <c r="E170" s="182" t="s">
        <v>818</v>
      </c>
      <c r="F170" s="247" t="s">
        <v>946</v>
      </c>
      <c r="G170" s="245"/>
      <c r="H170" s="247"/>
      <c r="I170" s="182" t="s">
        <v>818</v>
      </c>
      <c r="J170" s="268">
        <f>J169/G37</f>
        <v>1.4035401246833943</v>
      </c>
      <c r="K170" s="244" t="s">
        <v>842</v>
      </c>
      <c r="L170" s="245"/>
      <c r="M170" s="247"/>
      <c r="N170" s="247"/>
      <c r="O170" s="241"/>
      <c r="P170" s="241"/>
      <c r="Q170" s="241"/>
      <c r="R170" s="241"/>
      <c r="S170" s="241"/>
      <c r="T170" s="241"/>
      <c r="U170" s="241"/>
      <c r="V170" s="241"/>
      <c r="W170" s="241"/>
      <c r="X170" s="241"/>
    </row>
    <row r="171" spans="1:24" x14ac:dyDescent="0.15">
      <c r="A171" s="226"/>
      <c r="B171" s="247"/>
      <c r="C171" s="245"/>
      <c r="D171" s="182"/>
      <c r="E171" s="182"/>
      <c r="F171" s="247"/>
      <c r="G171" s="245"/>
      <c r="H171" s="247"/>
      <c r="I171" s="182"/>
      <c r="J171" s="248"/>
      <c r="K171" s="244"/>
      <c r="L171" s="245"/>
      <c r="M171" s="247"/>
      <c r="N171" s="247"/>
      <c r="O171" s="241"/>
      <c r="P171" s="241"/>
      <c r="Q171" s="241"/>
      <c r="R171" s="241"/>
      <c r="S171" s="241"/>
      <c r="T171" s="241"/>
      <c r="U171" s="241"/>
      <c r="V171" s="241"/>
      <c r="W171" s="241"/>
      <c r="X171" s="241"/>
    </row>
    <row r="172" spans="1:24" x14ac:dyDescent="0.15">
      <c r="A172" s="226"/>
      <c r="B172" s="247" t="s">
        <v>834</v>
      </c>
      <c r="C172" s="245"/>
      <c r="D172" s="182" t="s">
        <v>947</v>
      </c>
      <c r="E172" s="182" t="s">
        <v>818</v>
      </c>
      <c r="F172" s="247" t="s">
        <v>948</v>
      </c>
      <c r="G172" s="245"/>
      <c r="H172" s="247"/>
      <c r="I172" s="182" t="s">
        <v>818</v>
      </c>
      <c r="J172" s="248">
        <f>J129-J159</f>
        <v>13.451104610379515</v>
      </c>
      <c r="K172" s="244" t="s">
        <v>846</v>
      </c>
      <c r="L172" s="245"/>
      <c r="M172" s="247"/>
      <c r="N172" s="247"/>
      <c r="O172" s="241"/>
      <c r="P172" s="241"/>
      <c r="Q172" s="241"/>
      <c r="R172" s="241"/>
      <c r="S172" s="241"/>
      <c r="T172" s="241"/>
      <c r="U172" s="241"/>
      <c r="V172" s="241"/>
      <c r="W172" s="241"/>
      <c r="X172" s="241"/>
    </row>
    <row r="173" spans="1:24" ht="14.25" x14ac:dyDescent="0.15">
      <c r="A173" s="226"/>
      <c r="B173" s="247"/>
      <c r="C173" s="245"/>
      <c r="D173" s="182" t="s">
        <v>949</v>
      </c>
      <c r="E173" s="182" t="s">
        <v>818</v>
      </c>
      <c r="F173" s="247" t="s">
        <v>947</v>
      </c>
      <c r="G173" s="245"/>
      <c r="H173" s="247"/>
      <c r="I173" s="182" t="s">
        <v>818</v>
      </c>
      <c r="J173" s="248">
        <f>J172</f>
        <v>13.451104610379515</v>
      </c>
      <c r="K173" s="244" t="s">
        <v>842</v>
      </c>
      <c r="L173" s="245"/>
      <c r="M173" s="247"/>
      <c r="N173" s="247"/>
      <c r="O173" s="241"/>
      <c r="P173" s="241"/>
      <c r="Q173" s="241"/>
      <c r="R173" s="241"/>
      <c r="S173" s="241"/>
      <c r="T173" s="241"/>
      <c r="U173" s="241"/>
      <c r="V173" s="241"/>
      <c r="W173" s="241"/>
      <c r="X173" s="241"/>
    </row>
    <row r="174" spans="1:24" x14ac:dyDescent="0.15">
      <c r="A174" s="226"/>
      <c r="B174" s="270"/>
      <c r="C174" s="271"/>
      <c r="D174" s="271"/>
      <c r="E174" s="271"/>
      <c r="F174" s="271"/>
      <c r="G174" s="270"/>
      <c r="H174" s="270"/>
      <c r="I174" s="271"/>
      <c r="J174" s="272"/>
      <c r="K174" s="273"/>
      <c r="L174" s="245"/>
      <c r="M174" s="182"/>
      <c r="N174" s="247"/>
      <c r="O174" s="241"/>
      <c r="P174" s="241"/>
      <c r="Q174" s="241"/>
      <c r="R174" s="241"/>
      <c r="S174" s="241"/>
      <c r="T174" s="241"/>
      <c r="U174" s="241"/>
      <c r="V174" s="241"/>
      <c r="W174" s="241"/>
      <c r="X174" s="241"/>
    </row>
    <row r="175" spans="1:24" x14ac:dyDescent="0.15">
      <c r="A175" s="226"/>
      <c r="B175" s="247" t="s">
        <v>903</v>
      </c>
      <c r="C175" s="245"/>
      <c r="D175" s="182" t="s">
        <v>950</v>
      </c>
      <c r="E175" s="470" t="s">
        <v>818</v>
      </c>
      <c r="F175" s="226" t="s">
        <v>951</v>
      </c>
      <c r="G175" s="245"/>
      <c r="H175" s="226"/>
      <c r="I175" s="182" t="s">
        <v>818</v>
      </c>
      <c r="J175" s="248">
        <f>J169+J172</f>
        <v>17.240662947024681</v>
      </c>
      <c r="K175" s="244" t="s">
        <v>846</v>
      </c>
      <c r="L175" s="245"/>
      <c r="M175" s="182"/>
      <c r="N175" s="247"/>
      <c r="O175" s="241"/>
      <c r="P175" s="241"/>
      <c r="Q175" s="241"/>
      <c r="R175" s="241"/>
      <c r="S175" s="241"/>
      <c r="T175" s="241"/>
      <c r="U175" s="241"/>
      <c r="V175" s="241"/>
      <c r="W175" s="241"/>
      <c r="X175" s="241"/>
    </row>
    <row r="176" spans="1:24" ht="14.25" x14ac:dyDescent="0.15">
      <c r="A176" s="226"/>
      <c r="B176" s="247"/>
      <c r="C176" s="245"/>
      <c r="D176" s="182" t="s">
        <v>952</v>
      </c>
      <c r="E176" s="470" t="s">
        <v>818</v>
      </c>
      <c r="F176" s="226" t="s">
        <v>953</v>
      </c>
      <c r="G176" s="245"/>
      <c r="H176" s="226"/>
      <c r="I176" s="182" t="s">
        <v>818</v>
      </c>
      <c r="J176" s="248">
        <f>J170+J173</f>
        <v>14.854644735062909</v>
      </c>
      <c r="K176" s="244" t="s">
        <v>842</v>
      </c>
      <c r="L176" s="245"/>
      <c r="M176" s="182"/>
      <c r="N176" s="247"/>
      <c r="O176" s="241"/>
      <c r="P176" s="241"/>
      <c r="Q176" s="241"/>
      <c r="R176" s="241"/>
      <c r="S176" s="241"/>
      <c r="T176" s="241"/>
      <c r="U176" s="241"/>
      <c r="V176" s="241"/>
      <c r="W176" s="241"/>
      <c r="X176" s="241"/>
    </row>
    <row r="177" spans="1:24" x14ac:dyDescent="0.15">
      <c r="A177" s="226"/>
      <c r="B177" s="247"/>
      <c r="C177" s="245"/>
      <c r="D177" s="182"/>
      <c r="E177" s="182"/>
      <c r="F177" s="247"/>
      <c r="G177" s="245"/>
      <c r="H177" s="247"/>
      <c r="I177" s="182"/>
      <c r="J177" s="248"/>
      <c r="K177" s="244"/>
      <c r="L177" s="245"/>
      <c r="M177" s="182"/>
      <c r="N177" s="247"/>
      <c r="O177" s="241"/>
      <c r="P177" s="241"/>
      <c r="Q177" s="241"/>
      <c r="R177" s="241"/>
      <c r="S177" s="241"/>
      <c r="T177" s="241"/>
      <c r="U177" s="241"/>
      <c r="V177" s="241"/>
      <c r="W177" s="241"/>
      <c r="X177" s="241"/>
    </row>
    <row r="178" spans="1:24" x14ac:dyDescent="0.15">
      <c r="A178" s="226"/>
      <c r="B178" s="247" t="s">
        <v>908</v>
      </c>
      <c r="C178" s="245"/>
      <c r="D178" s="182" t="s">
        <v>954</v>
      </c>
      <c r="E178" s="182" t="s">
        <v>818</v>
      </c>
      <c r="F178" s="251" t="s">
        <v>955</v>
      </c>
      <c r="G178" s="245"/>
      <c r="H178" s="247"/>
      <c r="I178" s="182" t="s">
        <v>818</v>
      </c>
      <c r="J178" s="248">
        <f>J175/J176</f>
        <v>1.1606243874907229</v>
      </c>
      <c r="K178" s="244"/>
      <c r="L178" s="245"/>
      <c r="M178" s="182"/>
      <c r="N178" s="247"/>
      <c r="O178" s="241"/>
      <c r="P178" s="241"/>
      <c r="Q178" s="241"/>
      <c r="R178" s="241"/>
      <c r="S178" s="241"/>
      <c r="T178" s="241"/>
      <c r="U178" s="241"/>
      <c r="V178" s="241"/>
      <c r="W178" s="241"/>
      <c r="X178" s="241"/>
    </row>
    <row r="179" spans="1:24" x14ac:dyDescent="0.15">
      <c r="A179" s="247"/>
      <c r="B179" s="247"/>
      <c r="C179" s="245"/>
      <c r="D179" s="182"/>
      <c r="E179" s="182"/>
      <c r="F179" s="247"/>
      <c r="G179" s="245"/>
      <c r="H179" s="247"/>
      <c r="I179" s="182"/>
      <c r="J179" s="248"/>
      <c r="K179" s="244"/>
      <c r="L179" s="245"/>
      <c r="M179" s="182"/>
      <c r="N179" s="182"/>
      <c r="O179" s="241"/>
      <c r="P179" s="241"/>
      <c r="Q179" s="241"/>
      <c r="R179" s="241"/>
      <c r="S179" s="241"/>
      <c r="T179" s="241"/>
      <c r="U179" s="241"/>
      <c r="V179" s="241"/>
      <c r="W179" s="241"/>
      <c r="X179" s="241"/>
    </row>
    <row r="180" spans="1:24" x14ac:dyDescent="0.15">
      <c r="A180" s="247"/>
      <c r="B180" s="247" t="s">
        <v>816</v>
      </c>
      <c r="C180" s="245"/>
      <c r="D180" s="182" t="s">
        <v>956</v>
      </c>
      <c r="E180" s="182" t="s">
        <v>818</v>
      </c>
      <c r="F180" s="247" t="s">
        <v>957</v>
      </c>
      <c r="G180" s="245"/>
      <c r="H180" s="247"/>
      <c r="I180" s="182" t="s">
        <v>818</v>
      </c>
      <c r="J180" s="248">
        <f>J169/J175*100</f>
        <v>21.98035161576632</v>
      </c>
      <c r="K180" s="244" t="s">
        <v>820</v>
      </c>
      <c r="L180" s="245"/>
      <c r="M180" s="182"/>
      <c r="N180" s="182"/>
      <c r="O180" s="241"/>
      <c r="P180" s="241"/>
      <c r="Q180" s="241"/>
      <c r="R180" s="241"/>
      <c r="S180" s="241"/>
      <c r="T180" s="241"/>
      <c r="U180" s="241"/>
      <c r="V180" s="241"/>
      <c r="W180" s="241"/>
      <c r="X180" s="241"/>
    </row>
    <row r="181" spans="1:24" x14ac:dyDescent="0.15">
      <c r="A181" s="247"/>
      <c r="B181" s="247"/>
      <c r="C181" s="182"/>
      <c r="D181" s="182"/>
      <c r="E181" s="182"/>
      <c r="F181" s="182"/>
      <c r="G181" s="247"/>
      <c r="H181" s="247"/>
      <c r="I181" s="182"/>
      <c r="J181" s="248"/>
      <c r="K181" s="244"/>
      <c r="L181" s="245"/>
      <c r="M181" s="182"/>
      <c r="N181" s="182"/>
      <c r="O181" s="241"/>
      <c r="P181" s="241"/>
      <c r="Q181" s="241"/>
      <c r="R181" s="241"/>
      <c r="S181" s="241"/>
      <c r="T181" s="241"/>
      <c r="U181" s="241"/>
      <c r="V181" s="241"/>
      <c r="W181" s="241"/>
      <c r="X181" s="241"/>
    </row>
    <row r="182" spans="1:24" x14ac:dyDescent="0.15">
      <c r="A182" s="247" t="s">
        <v>958</v>
      </c>
      <c r="B182" s="247"/>
      <c r="C182" s="182"/>
      <c r="D182" s="182"/>
      <c r="E182" s="182"/>
      <c r="F182" s="182"/>
      <c r="G182" s="247"/>
      <c r="H182" s="247"/>
      <c r="I182" s="182"/>
      <c r="J182" s="248"/>
      <c r="K182" s="244"/>
      <c r="L182" s="245"/>
      <c r="M182" s="182"/>
      <c r="N182" s="182"/>
      <c r="O182" s="241"/>
      <c r="P182" s="241"/>
      <c r="Q182" s="241"/>
      <c r="R182" s="241"/>
      <c r="S182" s="241"/>
      <c r="T182" s="241"/>
      <c r="U182" s="241"/>
      <c r="V182" s="241"/>
      <c r="W182" s="241"/>
      <c r="X182" s="241"/>
    </row>
    <row r="183" spans="1:24" x14ac:dyDescent="0.15">
      <c r="A183" s="247"/>
      <c r="B183" s="247"/>
      <c r="C183" s="182"/>
      <c r="D183" s="182"/>
      <c r="E183" s="182"/>
      <c r="F183" s="182"/>
      <c r="G183" s="247"/>
      <c r="H183" s="247"/>
      <c r="I183" s="182"/>
      <c r="J183" s="248"/>
      <c r="K183" s="244"/>
      <c r="L183" s="245"/>
      <c r="M183" s="182"/>
      <c r="N183" s="182"/>
      <c r="O183" s="241"/>
      <c r="P183" s="241"/>
      <c r="Q183" s="241"/>
      <c r="R183" s="241"/>
      <c r="S183" s="241"/>
      <c r="T183" s="241"/>
      <c r="U183" s="241"/>
      <c r="V183" s="241"/>
      <c r="W183" s="241"/>
      <c r="X183" s="241"/>
    </row>
    <row r="184" spans="1:24" x14ac:dyDescent="0.15">
      <c r="A184" s="247"/>
      <c r="B184" s="247" t="s">
        <v>959</v>
      </c>
      <c r="C184" s="182"/>
      <c r="D184" s="182"/>
      <c r="E184" s="182"/>
      <c r="F184" s="182"/>
      <c r="G184" s="247"/>
      <c r="H184" s="247"/>
      <c r="I184" s="182"/>
      <c r="J184" s="248"/>
      <c r="K184" s="244"/>
      <c r="L184" s="245"/>
      <c r="M184" s="182"/>
      <c r="N184" s="182"/>
      <c r="O184" s="241"/>
      <c r="P184" s="241"/>
      <c r="Q184" s="241"/>
      <c r="R184" s="241"/>
      <c r="S184" s="241"/>
      <c r="T184" s="241"/>
      <c r="U184" s="241"/>
      <c r="V184" s="241"/>
      <c r="W184" s="241"/>
      <c r="X184" s="241"/>
    </row>
    <row r="185" spans="1:24" x14ac:dyDescent="0.15">
      <c r="A185" s="247"/>
      <c r="B185" s="247"/>
      <c r="C185" s="182"/>
      <c r="D185" s="182"/>
      <c r="E185" s="182"/>
      <c r="F185" s="182"/>
      <c r="G185" s="247"/>
      <c r="H185" s="247"/>
      <c r="I185" s="182"/>
      <c r="J185" s="248"/>
      <c r="K185" s="244"/>
      <c r="L185" s="245"/>
      <c r="M185" s="182"/>
      <c r="N185" s="182"/>
      <c r="O185" s="241"/>
      <c r="P185" s="241"/>
      <c r="Q185" s="241"/>
      <c r="R185" s="241"/>
      <c r="S185" s="241"/>
      <c r="T185" s="241"/>
      <c r="U185" s="241"/>
      <c r="V185" s="241"/>
      <c r="W185" s="241"/>
      <c r="X185" s="241"/>
    </row>
    <row r="186" spans="1:24" x14ac:dyDescent="0.15">
      <c r="A186" s="226"/>
      <c r="B186" s="247" t="s">
        <v>829</v>
      </c>
      <c r="C186" s="245"/>
      <c r="D186" s="182" t="s">
        <v>960</v>
      </c>
      <c r="E186" s="182" t="s">
        <v>818</v>
      </c>
      <c r="F186" s="251" t="s">
        <v>961</v>
      </c>
      <c r="G186" s="182"/>
      <c r="H186" s="247"/>
      <c r="I186" s="182" t="s">
        <v>818</v>
      </c>
      <c r="J186" s="248">
        <f>J55*G31*J53/100</f>
        <v>2.1441176470588226</v>
      </c>
      <c r="K186" s="244" t="s">
        <v>828</v>
      </c>
      <c r="L186" s="245"/>
      <c r="M186" s="182"/>
      <c r="N186" s="182"/>
      <c r="O186" s="241"/>
      <c r="P186" s="241"/>
      <c r="Q186" s="241"/>
      <c r="R186" s="241"/>
      <c r="S186" s="241"/>
      <c r="T186" s="241"/>
      <c r="U186" s="241"/>
      <c r="V186" s="241"/>
      <c r="W186" s="241"/>
      <c r="X186" s="241"/>
    </row>
    <row r="187" spans="1:24" ht="14.25" x14ac:dyDescent="0.15">
      <c r="A187" s="226"/>
      <c r="B187" s="247"/>
      <c r="C187" s="245"/>
      <c r="D187" s="182" t="s">
        <v>962</v>
      </c>
      <c r="E187" s="182" t="s">
        <v>818</v>
      </c>
      <c r="F187" s="247" t="s">
        <v>963</v>
      </c>
      <c r="G187" s="182"/>
      <c r="H187" s="247"/>
      <c r="I187" s="182" t="s">
        <v>818</v>
      </c>
      <c r="J187" s="268">
        <f>J186/G37</f>
        <v>0.79411764705882315</v>
      </c>
      <c r="K187" s="244" t="s">
        <v>824</v>
      </c>
      <c r="L187" s="245"/>
      <c r="M187" s="182"/>
      <c r="N187" s="182"/>
      <c r="O187" s="241"/>
      <c r="P187" s="241"/>
      <c r="Q187" s="241"/>
      <c r="R187" s="241"/>
      <c r="S187" s="241"/>
      <c r="T187" s="241"/>
      <c r="U187" s="241"/>
      <c r="V187" s="241"/>
      <c r="W187" s="241"/>
      <c r="X187" s="241"/>
    </row>
    <row r="188" spans="1:24" x14ac:dyDescent="0.15">
      <c r="A188" s="226"/>
      <c r="B188" s="247"/>
      <c r="C188" s="245"/>
      <c r="D188" s="182"/>
      <c r="E188" s="182"/>
      <c r="F188" s="247"/>
      <c r="G188" s="182"/>
      <c r="H188" s="247"/>
      <c r="I188" s="182"/>
      <c r="J188" s="248"/>
      <c r="K188" s="244"/>
      <c r="L188" s="245"/>
      <c r="M188" s="182"/>
      <c r="N188" s="182"/>
      <c r="O188" s="241"/>
      <c r="P188" s="241"/>
      <c r="Q188" s="241"/>
      <c r="R188" s="241"/>
      <c r="S188" s="241"/>
      <c r="T188" s="241"/>
      <c r="U188" s="241"/>
      <c r="V188" s="241"/>
      <c r="W188" s="241"/>
      <c r="X188" s="241"/>
    </row>
    <row r="189" spans="1:24" x14ac:dyDescent="0.15">
      <c r="A189" s="226"/>
      <c r="B189" s="247" t="s">
        <v>834</v>
      </c>
      <c r="C189" s="245"/>
      <c r="D189" s="182" t="s">
        <v>964</v>
      </c>
      <c r="E189" s="182" t="s">
        <v>818</v>
      </c>
      <c r="F189" s="251" t="s">
        <v>965</v>
      </c>
      <c r="G189" s="182"/>
      <c r="H189" s="247"/>
      <c r="I189" s="182" t="s">
        <v>818</v>
      </c>
      <c r="J189" s="248">
        <f>J55*G31*(100-J53)/100</f>
        <v>8.2058823529411775</v>
      </c>
      <c r="K189" s="244" t="s">
        <v>828</v>
      </c>
      <c r="L189" s="245"/>
      <c r="M189" s="182"/>
      <c r="N189" s="182"/>
      <c r="O189" s="241"/>
      <c r="P189" s="241"/>
      <c r="Q189" s="241"/>
      <c r="R189" s="241"/>
      <c r="S189" s="241"/>
      <c r="T189" s="241"/>
      <c r="U189" s="241"/>
      <c r="V189" s="241"/>
      <c r="W189" s="241"/>
      <c r="X189" s="241"/>
    </row>
    <row r="190" spans="1:24" ht="14.25" x14ac:dyDescent="0.15">
      <c r="A190" s="226"/>
      <c r="B190" s="247"/>
      <c r="C190" s="245"/>
      <c r="D190" s="182" t="s">
        <v>966</v>
      </c>
      <c r="E190" s="182" t="s">
        <v>818</v>
      </c>
      <c r="F190" s="247" t="s">
        <v>967</v>
      </c>
      <c r="G190" s="182"/>
      <c r="H190" s="247"/>
      <c r="I190" s="182" t="s">
        <v>818</v>
      </c>
      <c r="J190" s="248">
        <f>J189</f>
        <v>8.2058823529411775</v>
      </c>
      <c r="K190" s="244" t="s">
        <v>824</v>
      </c>
      <c r="L190" s="245"/>
      <c r="M190" s="182"/>
      <c r="N190" s="182"/>
      <c r="O190" s="241"/>
      <c r="P190" s="241"/>
      <c r="Q190" s="241"/>
      <c r="R190" s="241"/>
      <c r="S190" s="241"/>
      <c r="T190" s="241"/>
      <c r="U190" s="241"/>
      <c r="V190" s="241"/>
      <c r="W190" s="241"/>
      <c r="X190" s="241"/>
    </row>
    <row r="191" spans="1:24" x14ac:dyDescent="0.15">
      <c r="A191" s="226"/>
      <c r="B191" s="247"/>
      <c r="C191" s="245"/>
      <c r="D191" s="182"/>
      <c r="E191" s="182"/>
      <c r="F191" s="182"/>
      <c r="G191" s="182"/>
      <c r="H191" s="247"/>
      <c r="I191" s="247"/>
      <c r="J191" s="248"/>
      <c r="K191" s="244"/>
      <c r="L191" s="245"/>
      <c r="M191" s="182"/>
      <c r="N191" s="182"/>
      <c r="O191" s="241"/>
      <c r="P191" s="241"/>
      <c r="Q191" s="241"/>
      <c r="R191" s="241"/>
      <c r="S191" s="241"/>
      <c r="T191" s="241"/>
      <c r="U191" s="241"/>
      <c r="V191" s="241"/>
      <c r="W191" s="241"/>
      <c r="X191" s="241"/>
    </row>
    <row r="192" spans="1:24" x14ac:dyDescent="0.15">
      <c r="A192" s="226"/>
      <c r="B192" s="247" t="s">
        <v>968</v>
      </c>
      <c r="C192" s="182"/>
      <c r="D192" s="182"/>
      <c r="E192" s="182"/>
      <c r="F192" s="182"/>
      <c r="G192" s="247"/>
      <c r="H192" s="247"/>
      <c r="I192" s="247"/>
      <c r="J192" s="248"/>
      <c r="K192" s="244"/>
      <c r="L192" s="245"/>
      <c r="M192" s="182"/>
      <c r="N192" s="182"/>
      <c r="O192" s="241"/>
      <c r="P192" s="241"/>
      <c r="Q192" s="241"/>
      <c r="R192" s="241"/>
      <c r="S192" s="241"/>
      <c r="T192" s="241"/>
      <c r="U192" s="241"/>
      <c r="V192" s="241"/>
      <c r="W192" s="241"/>
      <c r="X192" s="241"/>
    </row>
    <row r="193" spans="1:24" x14ac:dyDescent="0.15">
      <c r="A193" s="226"/>
      <c r="B193" s="247" t="s">
        <v>969</v>
      </c>
      <c r="C193" s="182"/>
      <c r="D193" s="182"/>
      <c r="E193" s="182"/>
      <c r="F193" s="182"/>
      <c r="G193" s="247"/>
      <c r="H193" s="247"/>
      <c r="I193" s="247"/>
      <c r="J193" s="248"/>
      <c r="K193" s="244"/>
      <c r="L193" s="245"/>
      <c r="M193" s="182"/>
      <c r="N193" s="182"/>
      <c r="O193" s="241"/>
      <c r="P193" s="241"/>
      <c r="Q193" s="241"/>
      <c r="R193" s="241"/>
      <c r="S193" s="241"/>
      <c r="T193" s="241"/>
      <c r="U193" s="241"/>
      <c r="V193" s="241"/>
      <c r="W193" s="241"/>
      <c r="X193" s="241"/>
    </row>
    <row r="194" spans="1:24" x14ac:dyDescent="0.15">
      <c r="A194" s="226"/>
      <c r="B194" s="247" t="s">
        <v>970</v>
      </c>
      <c r="C194" s="182"/>
      <c r="D194" s="182"/>
      <c r="E194" s="182"/>
      <c r="F194" s="182"/>
      <c r="G194" s="247"/>
      <c r="H194" s="247"/>
      <c r="I194" s="247"/>
      <c r="J194" s="248"/>
      <c r="K194" s="244"/>
      <c r="L194" s="245"/>
      <c r="M194" s="182"/>
      <c r="N194" s="182"/>
      <c r="O194" s="241"/>
      <c r="P194" s="241"/>
      <c r="Q194" s="241"/>
      <c r="R194" s="241"/>
      <c r="S194" s="241"/>
      <c r="T194" s="241"/>
      <c r="U194" s="241"/>
      <c r="V194" s="241"/>
      <c r="W194" s="241"/>
      <c r="X194" s="241"/>
    </row>
    <row r="195" spans="1:24" x14ac:dyDescent="0.15">
      <c r="A195" s="226"/>
      <c r="B195" s="247" t="s">
        <v>971</v>
      </c>
      <c r="C195" s="182"/>
      <c r="D195" s="182"/>
      <c r="E195" s="182"/>
      <c r="F195" s="182"/>
      <c r="G195" s="247"/>
      <c r="H195" s="247"/>
      <c r="I195" s="247"/>
      <c r="J195" s="248"/>
      <c r="K195" s="244"/>
      <c r="L195" s="245"/>
      <c r="M195" s="182"/>
      <c r="N195" s="182"/>
      <c r="O195" s="241"/>
      <c r="P195" s="241"/>
      <c r="Q195" s="241"/>
      <c r="R195" s="241"/>
      <c r="S195" s="241"/>
      <c r="T195" s="241"/>
      <c r="U195" s="241"/>
      <c r="V195" s="241"/>
      <c r="W195" s="241"/>
      <c r="X195" s="241"/>
    </row>
    <row r="196" spans="1:24" x14ac:dyDescent="0.15">
      <c r="A196" s="226"/>
      <c r="B196" s="247"/>
      <c r="C196" s="182"/>
      <c r="D196" s="182"/>
      <c r="E196" s="182"/>
      <c r="F196" s="182"/>
      <c r="G196" s="247"/>
      <c r="H196" s="247"/>
      <c r="I196" s="247"/>
      <c r="J196" s="248"/>
      <c r="K196" s="244"/>
      <c r="L196" s="245"/>
      <c r="M196" s="182"/>
      <c r="N196" s="182"/>
      <c r="O196" s="241"/>
      <c r="P196" s="241"/>
      <c r="Q196" s="241"/>
      <c r="R196" s="241"/>
      <c r="S196" s="241"/>
      <c r="T196" s="241"/>
      <c r="U196" s="241"/>
      <c r="V196" s="241"/>
      <c r="W196" s="241"/>
      <c r="X196" s="241"/>
    </row>
    <row r="197" spans="1:24" x14ac:dyDescent="0.15">
      <c r="A197" s="226"/>
      <c r="B197" s="247"/>
      <c r="C197" s="245"/>
      <c r="D197" s="182" t="s">
        <v>972</v>
      </c>
      <c r="E197" s="182" t="s">
        <v>818</v>
      </c>
      <c r="F197" s="247" t="s">
        <v>973</v>
      </c>
      <c r="G197" s="245"/>
      <c r="H197" s="247"/>
      <c r="I197" s="182" t="s">
        <v>818</v>
      </c>
      <c r="J197" s="248">
        <f>J69/J55</f>
        <v>1.6199999999999999</v>
      </c>
      <c r="K197" s="244"/>
      <c r="L197" s="245"/>
      <c r="M197" s="182"/>
      <c r="N197" s="182"/>
      <c r="O197" s="241"/>
      <c r="P197" s="241"/>
      <c r="Q197" s="241"/>
      <c r="R197" s="241"/>
      <c r="S197" s="241"/>
      <c r="T197" s="241"/>
      <c r="U197" s="241"/>
      <c r="V197" s="241"/>
      <c r="W197" s="241"/>
      <c r="X197" s="241"/>
    </row>
    <row r="198" spans="1:24" x14ac:dyDescent="0.15">
      <c r="A198" s="226"/>
      <c r="B198" s="247"/>
      <c r="C198" s="182"/>
      <c r="D198" s="182"/>
      <c r="E198" s="247"/>
      <c r="F198" s="182"/>
      <c r="G198" s="245"/>
      <c r="H198" s="247"/>
      <c r="I198" s="247"/>
      <c r="J198" s="248"/>
      <c r="K198" s="244"/>
      <c r="L198" s="245"/>
      <c r="M198" s="182"/>
      <c r="N198" s="182"/>
      <c r="O198" s="241"/>
      <c r="P198" s="241"/>
      <c r="Q198" s="241"/>
      <c r="R198" s="241"/>
      <c r="S198" s="241"/>
      <c r="T198" s="241"/>
      <c r="U198" s="241"/>
      <c r="V198" s="241"/>
      <c r="W198" s="241"/>
      <c r="X198" s="241"/>
    </row>
    <row r="199" spans="1:24" x14ac:dyDescent="0.15">
      <c r="A199" s="226"/>
      <c r="B199" s="247" t="s">
        <v>829</v>
      </c>
      <c r="C199" s="245"/>
      <c r="D199" s="182" t="s">
        <v>974</v>
      </c>
      <c r="E199" s="470" t="s">
        <v>818</v>
      </c>
      <c r="F199" s="226" t="s">
        <v>975</v>
      </c>
      <c r="G199" s="245"/>
      <c r="H199" s="226"/>
      <c r="I199" s="182" t="s">
        <v>818</v>
      </c>
      <c r="J199" s="248">
        <f>J186+(J169-J73)/J197</f>
        <v>2.3392335411389911</v>
      </c>
      <c r="K199" s="244" t="s">
        <v>828</v>
      </c>
      <c r="L199" s="245"/>
      <c r="M199" s="182"/>
      <c r="N199" s="182"/>
      <c r="O199" s="241"/>
      <c r="P199" s="241"/>
      <c r="Q199" s="241"/>
      <c r="R199" s="241"/>
      <c r="S199" s="241"/>
      <c r="T199" s="241"/>
      <c r="U199" s="241"/>
      <c r="V199" s="241"/>
      <c r="W199" s="241"/>
      <c r="X199" s="241"/>
    </row>
    <row r="200" spans="1:24" ht="14.25" x14ac:dyDescent="0.15">
      <c r="A200" s="226"/>
      <c r="B200" s="247"/>
      <c r="C200" s="245"/>
      <c r="D200" s="182" t="s">
        <v>976</v>
      </c>
      <c r="E200" s="470" t="s">
        <v>818</v>
      </c>
      <c r="F200" s="226" t="s">
        <v>963</v>
      </c>
      <c r="G200" s="245"/>
      <c r="H200" s="226"/>
      <c r="I200" s="182" t="s">
        <v>818</v>
      </c>
      <c r="J200" s="248">
        <f>J199/G37</f>
        <v>0.8663827930144411</v>
      </c>
      <c r="K200" s="244" t="s">
        <v>824</v>
      </c>
      <c r="L200" s="245"/>
      <c r="M200" s="182"/>
      <c r="N200" s="182"/>
      <c r="O200" s="241"/>
      <c r="P200" s="241"/>
      <c r="Q200" s="241"/>
      <c r="R200" s="241"/>
      <c r="S200" s="241"/>
      <c r="T200" s="241"/>
      <c r="U200" s="241"/>
      <c r="V200" s="241"/>
      <c r="W200" s="241"/>
      <c r="X200" s="241"/>
    </row>
    <row r="201" spans="1:24" x14ac:dyDescent="0.15">
      <c r="A201" s="226"/>
      <c r="B201" s="247"/>
      <c r="C201" s="245"/>
      <c r="D201" s="182"/>
      <c r="E201" s="182"/>
      <c r="F201" s="247"/>
      <c r="G201" s="245"/>
      <c r="H201" s="247"/>
      <c r="I201" s="247"/>
      <c r="J201" s="248"/>
      <c r="K201" s="244"/>
      <c r="L201" s="245"/>
      <c r="M201" s="182"/>
      <c r="N201" s="182"/>
      <c r="O201" s="241"/>
      <c r="P201" s="241"/>
      <c r="Q201" s="241"/>
      <c r="R201" s="241"/>
      <c r="S201" s="241"/>
      <c r="T201" s="241"/>
      <c r="U201" s="241"/>
      <c r="V201" s="241"/>
      <c r="W201" s="241"/>
      <c r="X201" s="241"/>
    </row>
    <row r="202" spans="1:24" x14ac:dyDescent="0.15">
      <c r="A202" s="226"/>
      <c r="B202" s="247" t="s">
        <v>834</v>
      </c>
      <c r="C202" s="245"/>
      <c r="D202" s="182" t="s">
        <v>967</v>
      </c>
      <c r="E202" s="182" t="s">
        <v>818</v>
      </c>
      <c r="F202" s="247" t="s">
        <v>977</v>
      </c>
      <c r="G202" s="245"/>
      <c r="H202" s="247"/>
      <c r="I202" s="182" t="s">
        <v>818</v>
      </c>
      <c r="J202" s="248">
        <f>J189+(J172-J76)/J197</f>
        <v>8.303150994061431</v>
      </c>
      <c r="K202" s="244" t="s">
        <v>828</v>
      </c>
      <c r="L202" s="245"/>
      <c r="M202" s="182"/>
      <c r="N202" s="182"/>
      <c r="O202" s="241"/>
      <c r="P202" s="241"/>
      <c r="Q202" s="241"/>
      <c r="R202" s="241"/>
      <c r="S202" s="241"/>
      <c r="T202" s="241"/>
      <c r="U202" s="241"/>
      <c r="V202" s="241"/>
      <c r="W202" s="241"/>
      <c r="X202" s="241"/>
    </row>
    <row r="203" spans="1:24" ht="14.25" x14ac:dyDescent="0.15">
      <c r="A203" s="226"/>
      <c r="B203" s="247"/>
      <c r="C203" s="245"/>
      <c r="D203" s="182" t="s">
        <v>978</v>
      </c>
      <c r="E203" s="182" t="s">
        <v>818</v>
      </c>
      <c r="F203" s="247" t="s">
        <v>967</v>
      </c>
      <c r="G203" s="245"/>
      <c r="H203" s="247"/>
      <c r="I203" s="182" t="s">
        <v>818</v>
      </c>
      <c r="J203" s="248">
        <f>J202</f>
        <v>8.303150994061431</v>
      </c>
      <c r="K203" s="244" t="s">
        <v>824</v>
      </c>
      <c r="L203" s="245"/>
      <c r="M203" s="182"/>
      <c r="N203" s="182"/>
      <c r="O203" s="241"/>
      <c r="P203" s="241"/>
      <c r="Q203" s="241"/>
      <c r="R203" s="241"/>
      <c r="S203" s="241"/>
      <c r="T203" s="241"/>
      <c r="U203" s="241"/>
      <c r="V203" s="241"/>
      <c r="W203" s="241"/>
      <c r="X203" s="241"/>
    </row>
    <row r="204" spans="1:24" x14ac:dyDescent="0.15">
      <c r="A204" s="226"/>
      <c r="B204" s="270"/>
      <c r="C204" s="271"/>
      <c r="D204" s="271"/>
      <c r="E204" s="271"/>
      <c r="F204" s="271"/>
      <c r="G204" s="270"/>
      <c r="H204" s="270"/>
      <c r="I204" s="270"/>
      <c r="J204" s="272"/>
      <c r="K204" s="273"/>
      <c r="L204" s="245"/>
      <c r="M204" s="182"/>
      <c r="N204" s="182"/>
      <c r="O204" s="241"/>
      <c r="P204" s="241"/>
      <c r="Q204" s="241"/>
      <c r="R204" s="241"/>
      <c r="S204" s="241"/>
      <c r="T204" s="241"/>
      <c r="U204" s="241"/>
      <c r="V204" s="241"/>
      <c r="W204" s="241"/>
      <c r="X204" s="241"/>
    </row>
    <row r="205" spans="1:24" x14ac:dyDescent="0.15">
      <c r="A205" s="226"/>
      <c r="B205" s="247"/>
      <c r="C205" s="245"/>
      <c r="D205" s="182" t="s">
        <v>979</v>
      </c>
      <c r="E205" s="182" t="s">
        <v>818</v>
      </c>
      <c r="F205" s="247" t="s">
        <v>980</v>
      </c>
      <c r="G205" s="245"/>
      <c r="H205" s="247"/>
      <c r="I205" s="182" t="s">
        <v>818</v>
      </c>
      <c r="J205" s="248">
        <f>J199+J202</f>
        <v>10.642384535200422</v>
      </c>
      <c r="K205" s="244" t="s">
        <v>828</v>
      </c>
      <c r="L205" s="245"/>
      <c r="M205" s="182"/>
      <c r="N205" s="182"/>
      <c r="O205" s="241"/>
      <c r="P205" s="241"/>
      <c r="Q205" s="241"/>
      <c r="R205" s="241"/>
      <c r="S205" s="241"/>
      <c r="T205" s="241"/>
      <c r="U205" s="241"/>
      <c r="V205" s="241"/>
      <c r="W205" s="241"/>
      <c r="X205" s="241"/>
    </row>
    <row r="206" spans="1:24" ht="14.25" x14ac:dyDescent="0.15">
      <c r="A206" s="226"/>
      <c r="B206" s="247"/>
      <c r="C206" s="245"/>
      <c r="D206" s="182" t="s">
        <v>981</v>
      </c>
      <c r="E206" s="182" t="s">
        <v>818</v>
      </c>
      <c r="F206" s="247" t="s">
        <v>982</v>
      </c>
      <c r="G206" s="245"/>
      <c r="H206" s="247"/>
      <c r="I206" s="182" t="s">
        <v>818</v>
      </c>
      <c r="J206" s="248">
        <f>J200+J203</f>
        <v>9.1695337870758724</v>
      </c>
      <c r="K206" s="244" t="s">
        <v>824</v>
      </c>
      <c r="L206" s="245"/>
      <c r="M206" s="182"/>
      <c r="N206" s="182"/>
      <c r="O206" s="241"/>
      <c r="P206" s="241"/>
      <c r="Q206" s="241"/>
      <c r="R206" s="241"/>
      <c r="S206" s="241"/>
      <c r="T206" s="241"/>
      <c r="U206" s="241"/>
      <c r="V206" s="241"/>
      <c r="W206" s="241"/>
      <c r="X206" s="241"/>
    </row>
    <row r="207" spans="1:24" x14ac:dyDescent="0.15">
      <c r="A207" s="226"/>
      <c r="B207" s="247"/>
      <c r="C207" s="245"/>
      <c r="D207" s="182"/>
      <c r="E207" s="182"/>
      <c r="F207" s="247"/>
      <c r="G207" s="245"/>
      <c r="H207" s="247"/>
      <c r="I207" s="247"/>
      <c r="J207" s="248"/>
      <c r="K207" s="244"/>
      <c r="L207" s="245"/>
      <c r="M207" s="182"/>
      <c r="N207" s="182"/>
      <c r="O207" s="241"/>
      <c r="P207" s="241"/>
      <c r="Q207" s="241"/>
      <c r="R207" s="241"/>
      <c r="S207" s="241"/>
      <c r="T207" s="241"/>
      <c r="U207" s="241"/>
      <c r="V207" s="241"/>
      <c r="W207" s="241"/>
      <c r="X207" s="241"/>
    </row>
    <row r="208" spans="1:24" x14ac:dyDescent="0.15">
      <c r="A208" s="226"/>
      <c r="B208" s="247" t="s">
        <v>908</v>
      </c>
      <c r="C208" s="245"/>
      <c r="D208" s="182" t="s">
        <v>983</v>
      </c>
      <c r="E208" s="182" t="s">
        <v>818</v>
      </c>
      <c r="F208" s="251" t="s">
        <v>984</v>
      </c>
      <c r="G208" s="245"/>
      <c r="H208" s="226"/>
      <c r="I208" s="182" t="s">
        <v>818</v>
      </c>
      <c r="J208" s="248">
        <f>J205/J206</f>
        <v>1.1606243874907227</v>
      </c>
      <c r="K208" s="244"/>
      <c r="L208" s="245"/>
      <c r="M208" s="182"/>
      <c r="N208" s="182"/>
      <c r="O208" s="241"/>
      <c r="P208" s="241"/>
      <c r="Q208" s="241"/>
      <c r="R208" s="241"/>
      <c r="S208" s="241"/>
      <c r="T208" s="241"/>
      <c r="U208" s="241"/>
      <c r="V208" s="241"/>
      <c r="W208" s="241"/>
      <c r="X208" s="241"/>
    </row>
    <row r="209" spans="1:24" x14ac:dyDescent="0.15">
      <c r="A209" s="247"/>
      <c r="B209" s="247"/>
      <c r="C209" s="245"/>
      <c r="D209" s="182"/>
      <c r="E209" s="182"/>
      <c r="F209" s="247"/>
      <c r="G209" s="245"/>
      <c r="H209" s="247"/>
      <c r="I209" s="247"/>
      <c r="J209" s="248"/>
      <c r="K209" s="244"/>
      <c r="L209" s="245"/>
      <c r="M209" s="182"/>
      <c r="N209" s="182"/>
      <c r="O209" s="241"/>
      <c r="P209" s="241"/>
      <c r="Q209" s="241"/>
      <c r="R209" s="241"/>
      <c r="S209" s="241"/>
      <c r="T209" s="241"/>
      <c r="U209" s="241"/>
      <c r="V209" s="241"/>
      <c r="W209" s="241"/>
      <c r="X209" s="241"/>
    </row>
    <row r="210" spans="1:24" x14ac:dyDescent="0.15">
      <c r="A210" s="247"/>
      <c r="B210" s="247" t="s">
        <v>816</v>
      </c>
      <c r="C210" s="245"/>
      <c r="D210" s="182" t="s">
        <v>985</v>
      </c>
      <c r="E210" s="182" t="s">
        <v>818</v>
      </c>
      <c r="F210" s="247" t="s">
        <v>986</v>
      </c>
      <c r="G210" s="245"/>
      <c r="H210" s="247"/>
      <c r="I210" s="182" t="s">
        <v>818</v>
      </c>
      <c r="J210" s="248">
        <f>J199/J205*100</f>
        <v>21.98035161576632</v>
      </c>
      <c r="K210" s="244" t="s">
        <v>820</v>
      </c>
      <c r="L210" s="245"/>
      <c r="M210" s="182"/>
      <c r="N210" s="182"/>
      <c r="O210" s="241"/>
      <c r="P210" s="241"/>
      <c r="Q210" s="241"/>
      <c r="R210" s="241"/>
      <c r="S210" s="241"/>
      <c r="T210" s="241"/>
      <c r="U210" s="241"/>
      <c r="V210" s="241"/>
      <c r="W210" s="241"/>
      <c r="X210" s="241"/>
    </row>
    <row r="211" spans="1:24" x14ac:dyDescent="0.15">
      <c r="A211" s="247"/>
      <c r="B211" s="247"/>
      <c r="C211" s="182"/>
      <c r="D211" s="182"/>
      <c r="E211" s="182"/>
      <c r="F211" s="182"/>
      <c r="G211" s="247"/>
      <c r="H211" s="247"/>
      <c r="I211" s="247"/>
      <c r="J211" s="248"/>
      <c r="K211" s="244"/>
      <c r="L211" s="245"/>
      <c r="M211" s="182"/>
      <c r="N211" s="182"/>
      <c r="O211" s="241"/>
      <c r="P211" s="241"/>
      <c r="Q211" s="241"/>
      <c r="R211" s="241"/>
      <c r="S211" s="241"/>
      <c r="T211" s="241"/>
      <c r="U211" s="241"/>
      <c r="V211" s="241"/>
      <c r="W211" s="241"/>
      <c r="X211" s="241"/>
    </row>
    <row r="212" spans="1:24" x14ac:dyDescent="0.15">
      <c r="A212" s="247" t="s">
        <v>987</v>
      </c>
      <c r="B212" s="247"/>
      <c r="C212" s="182"/>
      <c r="D212" s="182"/>
      <c r="E212" s="182"/>
      <c r="F212" s="182"/>
      <c r="G212" s="247"/>
      <c r="H212" s="247"/>
      <c r="I212" s="247"/>
      <c r="J212" s="248"/>
      <c r="K212" s="244"/>
      <c r="L212" s="245"/>
      <c r="M212" s="251"/>
      <c r="N212" s="182"/>
      <c r="O212" s="241"/>
      <c r="P212" s="241"/>
      <c r="Q212" s="241"/>
      <c r="R212" s="241"/>
      <c r="S212" s="241"/>
      <c r="T212" s="241"/>
      <c r="U212" s="241"/>
      <c r="V212" s="241"/>
      <c r="W212" s="241"/>
      <c r="X212" s="241"/>
    </row>
    <row r="213" spans="1:24" x14ac:dyDescent="0.15">
      <c r="A213" s="247"/>
      <c r="B213" s="247"/>
      <c r="C213" s="182"/>
      <c r="D213" s="182"/>
      <c r="E213" s="182"/>
      <c r="F213" s="182"/>
      <c r="G213" s="247"/>
      <c r="H213" s="247"/>
      <c r="I213" s="247"/>
      <c r="J213" s="248"/>
      <c r="K213" s="244"/>
      <c r="L213" s="245"/>
      <c r="M213" s="182"/>
      <c r="N213" s="182"/>
      <c r="O213" s="241"/>
      <c r="P213" s="241"/>
      <c r="Q213" s="241"/>
      <c r="R213" s="241"/>
      <c r="S213" s="241"/>
      <c r="T213" s="241"/>
      <c r="U213" s="241"/>
      <c r="V213" s="241"/>
      <c r="W213" s="241"/>
      <c r="X213" s="241"/>
    </row>
    <row r="214" spans="1:24" x14ac:dyDescent="0.15">
      <c r="A214" s="247"/>
      <c r="B214" s="247" t="s">
        <v>988</v>
      </c>
      <c r="C214" s="182"/>
      <c r="D214" s="182"/>
      <c r="E214" s="182"/>
      <c r="F214" s="182"/>
      <c r="G214" s="247"/>
      <c r="H214" s="247"/>
      <c r="I214" s="247"/>
      <c r="J214" s="248"/>
      <c r="K214" s="244"/>
      <c r="L214" s="245"/>
      <c r="M214" s="182"/>
      <c r="N214" s="182"/>
      <c r="O214" s="241"/>
      <c r="P214" s="241"/>
      <c r="Q214" s="241"/>
      <c r="R214" s="241"/>
      <c r="S214" s="241"/>
      <c r="T214" s="241"/>
      <c r="U214" s="241"/>
      <c r="V214" s="241"/>
      <c r="W214" s="241"/>
      <c r="X214" s="241"/>
    </row>
    <row r="215" spans="1:24" x14ac:dyDescent="0.15">
      <c r="A215" s="247"/>
      <c r="B215" s="247" t="s">
        <v>989</v>
      </c>
      <c r="C215" s="182"/>
      <c r="D215" s="182"/>
      <c r="E215" s="182"/>
      <c r="F215" s="182"/>
      <c r="G215" s="247"/>
      <c r="H215" s="247"/>
      <c r="I215" s="247"/>
      <c r="J215" s="248"/>
      <c r="K215" s="244"/>
      <c r="L215" s="245"/>
      <c r="M215" s="251"/>
      <c r="N215" s="182"/>
      <c r="O215" s="241"/>
      <c r="P215" s="241"/>
      <c r="Q215" s="241"/>
      <c r="R215" s="241"/>
      <c r="S215" s="241"/>
      <c r="T215" s="241"/>
      <c r="U215" s="241"/>
      <c r="V215" s="241"/>
      <c r="W215" s="241"/>
      <c r="X215" s="241"/>
    </row>
    <row r="216" spans="1:24" x14ac:dyDescent="0.15">
      <c r="A216" s="247"/>
      <c r="B216" s="247" t="s">
        <v>990</v>
      </c>
      <c r="C216" s="182"/>
      <c r="D216" s="182"/>
      <c r="E216" s="182"/>
      <c r="F216" s="182"/>
      <c r="G216" s="247"/>
      <c r="H216" s="247"/>
      <c r="I216" s="247"/>
      <c r="J216" s="248"/>
      <c r="K216" s="244"/>
      <c r="L216" s="245"/>
      <c r="M216" s="182"/>
      <c r="N216" s="182"/>
      <c r="O216" s="241"/>
      <c r="P216" s="241"/>
      <c r="Q216" s="241"/>
      <c r="R216" s="241"/>
      <c r="S216" s="241"/>
      <c r="T216" s="241"/>
      <c r="U216" s="241"/>
      <c r="V216" s="241"/>
      <c r="W216" s="241"/>
      <c r="X216" s="241"/>
    </row>
    <row r="217" spans="1:24" x14ac:dyDescent="0.15">
      <c r="A217" s="247"/>
      <c r="B217" s="247" t="s">
        <v>991</v>
      </c>
      <c r="C217" s="182"/>
      <c r="D217" s="182"/>
      <c r="E217" s="182"/>
      <c r="F217" s="182"/>
      <c r="G217" s="247"/>
      <c r="H217" s="247"/>
      <c r="I217" s="247"/>
      <c r="J217" s="248"/>
      <c r="K217" s="244"/>
      <c r="L217" s="245"/>
      <c r="M217" s="182"/>
      <c r="N217" s="251"/>
      <c r="O217" s="241"/>
      <c r="P217" s="241"/>
      <c r="Q217" s="241"/>
      <c r="R217" s="241"/>
      <c r="S217" s="241"/>
      <c r="T217" s="241"/>
      <c r="U217" s="241"/>
      <c r="V217" s="241"/>
      <c r="W217" s="241"/>
      <c r="X217" s="241"/>
    </row>
    <row r="218" spans="1:24" x14ac:dyDescent="0.15">
      <c r="A218" s="247"/>
      <c r="B218" s="247"/>
      <c r="C218" s="182"/>
      <c r="D218" s="182"/>
      <c r="E218" s="182"/>
      <c r="F218" s="182"/>
      <c r="G218" s="247"/>
      <c r="H218" s="247"/>
      <c r="I218" s="247"/>
      <c r="J218" s="248"/>
      <c r="K218" s="244"/>
      <c r="L218" s="245"/>
      <c r="M218" s="251"/>
      <c r="N218" s="182"/>
      <c r="O218" s="241"/>
      <c r="P218" s="241"/>
      <c r="Q218" s="241"/>
      <c r="R218" s="241"/>
      <c r="S218" s="241"/>
      <c r="T218" s="241"/>
      <c r="U218" s="241"/>
      <c r="V218" s="241"/>
      <c r="W218" s="241"/>
      <c r="X218" s="241"/>
    </row>
    <row r="219" spans="1:24" x14ac:dyDescent="0.15">
      <c r="A219" s="247"/>
      <c r="B219" s="247" t="s">
        <v>992</v>
      </c>
      <c r="C219" s="182"/>
      <c r="D219" s="182"/>
      <c r="E219" s="182"/>
      <c r="F219" s="182"/>
      <c r="G219" s="247"/>
      <c r="H219" s="247"/>
      <c r="I219" s="247"/>
      <c r="J219" s="248"/>
      <c r="K219" s="244"/>
      <c r="L219" s="245"/>
      <c r="M219" s="182"/>
      <c r="N219" s="182"/>
      <c r="O219" s="241"/>
      <c r="P219" s="241"/>
      <c r="Q219" s="241"/>
      <c r="R219" s="241"/>
      <c r="S219" s="241"/>
      <c r="T219" s="241"/>
      <c r="U219" s="241"/>
      <c r="V219" s="241"/>
      <c r="W219" s="241"/>
      <c r="X219" s="241"/>
    </row>
    <row r="220" spans="1:24" x14ac:dyDescent="0.15">
      <c r="A220" s="247"/>
      <c r="B220" s="245"/>
      <c r="C220" s="182"/>
      <c r="D220" s="182"/>
      <c r="E220" s="182"/>
      <c r="F220" s="182"/>
      <c r="G220" s="247"/>
      <c r="H220" s="247"/>
      <c r="I220" s="247"/>
      <c r="J220" s="248"/>
      <c r="K220" s="244"/>
      <c r="L220" s="245"/>
      <c r="M220" s="251"/>
      <c r="N220" s="251"/>
      <c r="O220" s="241"/>
      <c r="P220" s="241"/>
      <c r="Q220" s="241"/>
      <c r="R220" s="241"/>
      <c r="S220" s="241"/>
      <c r="T220" s="241"/>
      <c r="U220" s="241"/>
      <c r="V220" s="241"/>
      <c r="W220" s="241"/>
      <c r="X220" s="241"/>
    </row>
    <row r="221" spans="1:24" x14ac:dyDescent="0.15">
      <c r="A221" s="245"/>
      <c r="B221" s="283" t="s">
        <v>993</v>
      </c>
      <c r="C221" s="247" t="s">
        <v>994</v>
      </c>
      <c r="D221" s="182"/>
      <c r="E221" s="182"/>
      <c r="F221" s="182"/>
      <c r="G221" s="247"/>
      <c r="H221" s="247"/>
      <c r="I221" s="247"/>
      <c r="J221" s="248"/>
      <c r="K221" s="244"/>
      <c r="L221" s="245"/>
      <c r="M221" s="251"/>
      <c r="N221" s="251"/>
      <c r="O221" s="241"/>
      <c r="P221" s="241"/>
      <c r="Q221" s="241"/>
      <c r="R221" s="241"/>
      <c r="S221" s="241"/>
      <c r="T221" s="241"/>
      <c r="U221" s="241"/>
      <c r="V221" s="241"/>
      <c r="W221" s="241"/>
      <c r="X221" s="241"/>
    </row>
    <row r="222" spans="1:24" x14ac:dyDescent="0.15">
      <c r="A222" s="245"/>
      <c r="B222" s="283" t="s">
        <v>995</v>
      </c>
      <c r="C222" s="247" t="s">
        <v>996</v>
      </c>
      <c r="D222" s="182"/>
      <c r="E222" s="182"/>
      <c r="F222" s="182"/>
      <c r="G222" s="247"/>
      <c r="H222" s="247"/>
      <c r="I222" s="247"/>
      <c r="J222" s="248"/>
      <c r="K222" s="244"/>
      <c r="L222" s="245"/>
      <c r="M222" s="251"/>
      <c r="N222" s="251"/>
      <c r="O222" s="241"/>
      <c r="P222" s="241"/>
      <c r="Q222" s="241"/>
      <c r="R222" s="241"/>
      <c r="S222" s="241"/>
      <c r="T222" s="241"/>
      <c r="U222" s="241"/>
      <c r="V222" s="241"/>
      <c r="W222" s="241"/>
      <c r="X222" s="241"/>
    </row>
    <row r="223" spans="1:24" x14ac:dyDescent="0.15">
      <c r="A223" s="245"/>
      <c r="B223" s="283" t="s">
        <v>997</v>
      </c>
      <c r="C223" s="247" t="s">
        <v>998</v>
      </c>
      <c r="D223" s="182"/>
      <c r="E223" s="182"/>
      <c r="F223" s="182"/>
      <c r="G223" s="247"/>
      <c r="H223" s="247"/>
      <c r="I223" s="247"/>
      <c r="J223" s="248"/>
      <c r="K223" s="244"/>
      <c r="L223" s="245"/>
      <c r="M223" s="251"/>
      <c r="N223" s="251"/>
      <c r="O223" s="241"/>
      <c r="P223" s="241"/>
      <c r="Q223" s="241"/>
      <c r="R223" s="241"/>
      <c r="S223" s="241"/>
      <c r="T223" s="241"/>
      <c r="U223" s="241"/>
      <c r="V223" s="241"/>
      <c r="W223" s="241"/>
      <c r="X223" s="241"/>
    </row>
    <row r="224" spans="1:24" x14ac:dyDescent="0.15">
      <c r="A224" s="247"/>
      <c r="B224" s="245"/>
      <c r="C224" s="247" t="s">
        <v>999</v>
      </c>
      <c r="D224" s="182"/>
      <c r="E224" s="182"/>
      <c r="F224" s="182"/>
      <c r="G224" s="247"/>
      <c r="H224" s="247"/>
      <c r="I224" s="247"/>
      <c r="J224" s="248"/>
      <c r="K224" s="244"/>
      <c r="L224" s="245"/>
      <c r="M224" s="251"/>
      <c r="N224" s="251"/>
      <c r="O224" s="241"/>
      <c r="P224" s="241"/>
      <c r="Q224" s="241"/>
      <c r="R224" s="241"/>
      <c r="S224" s="241"/>
      <c r="T224" s="241"/>
      <c r="U224" s="241"/>
      <c r="V224" s="241"/>
      <c r="W224" s="241"/>
      <c r="X224" s="241"/>
    </row>
    <row r="225" spans="1:24" x14ac:dyDescent="0.15">
      <c r="A225" s="247"/>
      <c r="B225" s="247"/>
      <c r="C225" s="182"/>
      <c r="D225" s="182"/>
      <c r="E225" s="182"/>
      <c r="F225" s="182"/>
      <c r="G225" s="247"/>
      <c r="H225" s="247"/>
      <c r="I225" s="247"/>
      <c r="J225" s="248"/>
      <c r="K225" s="244"/>
      <c r="L225" s="245"/>
      <c r="M225" s="251"/>
      <c r="N225" s="251"/>
      <c r="O225" s="241"/>
      <c r="P225" s="241"/>
      <c r="Q225" s="241"/>
      <c r="R225" s="241"/>
      <c r="S225" s="241"/>
      <c r="T225" s="241"/>
      <c r="U225" s="241"/>
      <c r="V225" s="241"/>
      <c r="W225" s="241"/>
      <c r="X225" s="241"/>
    </row>
    <row r="226" spans="1:24" x14ac:dyDescent="0.15">
      <c r="A226" s="247"/>
      <c r="B226" s="247"/>
      <c r="C226" s="182" t="s">
        <v>1000</v>
      </c>
      <c r="D226" s="182" t="s">
        <v>818</v>
      </c>
      <c r="E226" s="247" t="s">
        <v>1001</v>
      </c>
      <c r="F226" s="245"/>
      <c r="G226" s="245"/>
      <c r="H226" s="245"/>
      <c r="I226" s="182" t="s">
        <v>818</v>
      </c>
      <c r="J226" s="248">
        <f>2*G37/(G37+1)</f>
        <v>1.4594594594594594</v>
      </c>
      <c r="K226" s="244"/>
      <c r="L226" s="245"/>
      <c r="M226" s="251"/>
      <c r="N226" s="251"/>
      <c r="O226" s="241"/>
      <c r="P226" s="241"/>
      <c r="Q226" s="241"/>
      <c r="R226" s="241"/>
      <c r="S226" s="241"/>
      <c r="T226" s="241"/>
      <c r="U226" s="241"/>
      <c r="V226" s="241"/>
      <c r="W226" s="241"/>
      <c r="X226" s="241"/>
    </row>
    <row r="227" spans="1:24" x14ac:dyDescent="0.15">
      <c r="A227" s="247"/>
      <c r="B227" s="247"/>
      <c r="C227" s="182"/>
      <c r="D227" s="182"/>
      <c r="E227" s="182"/>
      <c r="F227" s="182"/>
      <c r="G227" s="247"/>
      <c r="H227" s="247"/>
      <c r="I227" s="247"/>
      <c r="J227" s="248"/>
      <c r="K227" s="244"/>
      <c r="L227" s="245"/>
      <c r="M227" s="251"/>
      <c r="N227" s="251"/>
      <c r="O227" s="241"/>
      <c r="P227" s="241"/>
      <c r="Q227" s="241"/>
      <c r="R227" s="241"/>
      <c r="S227" s="241"/>
      <c r="T227" s="241"/>
      <c r="U227" s="241"/>
      <c r="V227" s="241"/>
      <c r="W227" s="241"/>
      <c r="X227" s="241"/>
    </row>
    <row r="228" spans="1:24" x14ac:dyDescent="0.15">
      <c r="A228" s="247"/>
      <c r="B228" s="245"/>
      <c r="C228" s="247" t="s">
        <v>1002</v>
      </c>
      <c r="D228" s="182"/>
      <c r="E228" s="182"/>
      <c r="F228" s="182"/>
      <c r="G228" s="247"/>
      <c r="H228" s="247"/>
      <c r="I228" s="247"/>
      <c r="J228" s="248"/>
      <c r="K228" s="244"/>
      <c r="L228" s="245"/>
      <c r="M228" s="251"/>
      <c r="N228" s="251"/>
      <c r="O228" s="241"/>
      <c r="P228" s="241"/>
      <c r="Q228" s="241"/>
      <c r="R228" s="241"/>
      <c r="S228" s="241"/>
      <c r="T228" s="241"/>
      <c r="U228" s="241"/>
      <c r="V228" s="241"/>
      <c r="W228" s="241"/>
      <c r="X228" s="241"/>
    </row>
    <row r="229" spans="1:24" x14ac:dyDescent="0.15">
      <c r="A229" s="247"/>
      <c r="B229" s="247"/>
      <c r="C229" s="182"/>
      <c r="D229" s="182"/>
      <c r="E229" s="182"/>
      <c r="F229" s="182"/>
      <c r="G229" s="245"/>
      <c r="H229" s="247"/>
      <c r="I229" s="247"/>
      <c r="J229" s="248"/>
      <c r="K229" s="244"/>
      <c r="L229" s="245"/>
      <c r="M229" s="251"/>
      <c r="N229" s="251"/>
      <c r="O229" s="241"/>
      <c r="P229" s="241"/>
      <c r="Q229" s="241"/>
      <c r="R229" s="241"/>
      <c r="S229" s="241"/>
      <c r="T229" s="241"/>
      <c r="U229" s="241"/>
      <c r="V229" s="241"/>
      <c r="W229" s="241"/>
      <c r="X229" s="241"/>
    </row>
    <row r="230" spans="1:24" x14ac:dyDescent="0.15">
      <c r="A230" s="247"/>
      <c r="B230" s="247"/>
      <c r="C230" s="285"/>
      <c r="D230" s="286" t="s">
        <v>1003</v>
      </c>
      <c r="E230" s="287"/>
      <c r="F230" s="286" t="s">
        <v>1004</v>
      </c>
      <c r="G230" s="288"/>
      <c r="H230" s="286" t="s">
        <v>1005</v>
      </c>
      <c r="I230" s="289"/>
      <c r="J230" s="245"/>
      <c r="K230" s="244"/>
      <c r="L230" s="245"/>
      <c r="M230" s="182"/>
      <c r="N230" s="251"/>
      <c r="O230" s="241"/>
      <c r="P230" s="241"/>
      <c r="Q230" s="241"/>
      <c r="R230" s="241"/>
      <c r="S230" s="241"/>
      <c r="T230" s="241"/>
      <c r="U230" s="241"/>
      <c r="V230" s="241"/>
      <c r="W230" s="241"/>
      <c r="X230" s="241"/>
    </row>
    <row r="231" spans="1:24" x14ac:dyDescent="0.15">
      <c r="A231" s="247"/>
      <c r="B231" s="247"/>
      <c r="C231" s="290" t="s">
        <v>1006</v>
      </c>
      <c r="D231" s="286" t="s">
        <v>1007</v>
      </c>
      <c r="E231" s="286"/>
      <c r="F231" s="286" t="s">
        <v>1008</v>
      </c>
      <c r="G231" s="291"/>
      <c r="H231" s="286" t="s">
        <v>1009</v>
      </c>
      <c r="I231" s="292"/>
      <c r="J231" s="245"/>
      <c r="K231" s="244"/>
      <c r="L231" s="245"/>
      <c r="M231" s="182"/>
      <c r="N231" s="251"/>
      <c r="O231" s="241"/>
      <c r="P231" s="241"/>
      <c r="Q231" s="241"/>
      <c r="R231" s="241"/>
      <c r="S231" s="241"/>
      <c r="T231" s="241"/>
      <c r="U231" s="241"/>
      <c r="V231" s="241"/>
      <c r="W231" s="241"/>
      <c r="X231" s="241"/>
    </row>
    <row r="232" spans="1:24" x14ac:dyDescent="0.15">
      <c r="A232" s="247"/>
      <c r="B232" s="247"/>
      <c r="C232" s="290" t="s">
        <v>1010</v>
      </c>
      <c r="D232" s="286" t="s">
        <v>1011</v>
      </c>
      <c r="E232" s="286"/>
      <c r="F232" s="286" t="s">
        <v>1012</v>
      </c>
      <c r="G232" s="293"/>
      <c r="H232" s="286" t="s">
        <v>1013</v>
      </c>
      <c r="I232" s="294"/>
      <c r="J232" s="245"/>
      <c r="K232" s="244"/>
      <c r="L232" s="245"/>
      <c r="M232" s="182"/>
      <c r="N232" s="251"/>
      <c r="O232" s="241"/>
      <c r="P232" s="241"/>
      <c r="Q232" s="241"/>
      <c r="R232" s="241"/>
      <c r="S232" s="241"/>
      <c r="T232" s="241"/>
      <c r="U232" s="241"/>
      <c r="V232" s="241"/>
      <c r="W232" s="241"/>
      <c r="X232" s="241"/>
    </row>
    <row r="233" spans="1:24" x14ac:dyDescent="0.15">
      <c r="A233" s="247"/>
      <c r="B233" s="247"/>
      <c r="C233" s="290" t="s">
        <v>1014</v>
      </c>
      <c r="D233" s="286" t="s">
        <v>1015</v>
      </c>
      <c r="E233" s="286"/>
      <c r="F233" s="286" t="s">
        <v>1016</v>
      </c>
      <c r="G233" s="293"/>
      <c r="H233" s="286" t="s">
        <v>1017</v>
      </c>
      <c r="I233" s="295"/>
      <c r="J233" s="245"/>
      <c r="K233" s="244"/>
      <c r="L233" s="245"/>
      <c r="M233" s="182"/>
      <c r="N233" s="251"/>
      <c r="O233" s="241"/>
      <c r="P233" s="241"/>
      <c r="Q233" s="241"/>
      <c r="R233" s="241"/>
      <c r="S233" s="241"/>
      <c r="T233" s="241"/>
      <c r="U233" s="241"/>
      <c r="V233" s="241"/>
      <c r="W233" s="241"/>
      <c r="X233" s="241"/>
    </row>
    <row r="234" spans="1:24" x14ac:dyDescent="0.15">
      <c r="A234" s="247"/>
      <c r="B234" s="247"/>
      <c r="C234" s="279"/>
      <c r="D234" s="279"/>
      <c r="E234" s="279"/>
      <c r="F234" s="279"/>
      <c r="G234" s="182"/>
      <c r="H234" s="182"/>
      <c r="I234" s="279"/>
      <c r="J234" s="280"/>
      <c r="K234" s="244"/>
      <c r="L234" s="245"/>
      <c r="M234" s="182"/>
      <c r="N234" s="251"/>
      <c r="O234" s="241"/>
      <c r="P234" s="241"/>
      <c r="Q234" s="241"/>
      <c r="R234" s="241"/>
      <c r="S234" s="241"/>
      <c r="T234" s="241"/>
      <c r="U234" s="241"/>
      <c r="V234" s="241"/>
      <c r="W234" s="241"/>
      <c r="X234" s="241"/>
    </row>
    <row r="235" spans="1:24" ht="15.75" x14ac:dyDescent="0.15">
      <c r="A235" s="247"/>
      <c r="B235" s="247"/>
      <c r="C235" s="283" t="s">
        <v>1018</v>
      </c>
      <c r="D235" s="251" t="s">
        <v>1019</v>
      </c>
      <c r="E235" s="283"/>
      <c r="F235" s="245"/>
      <c r="G235" s="245"/>
      <c r="H235" s="182"/>
      <c r="I235" s="279"/>
      <c r="J235" s="280"/>
      <c r="K235" s="244"/>
      <c r="L235" s="245"/>
      <c r="M235" s="182"/>
      <c r="N235" s="182"/>
      <c r="O235" s="241"/>
      <c r="P235" s="241"/>
      <c r="Q235" s="241"/>
      <c r="R235" s="241"/>
      <c r="S235" s="241"/>
      <c r="T235" s="241"/>
      <c r="U235" s="241"/>
      <c r="V235" s="241"/>
      <c r="W235" s="241"/>
      <c r="X235" s="241"/>
    </row>
    <row r="236" spans="1:24" ht="15.75" x14ac:dyDescent="0.15">
      <c r="A236" s="247"/>
      <c r="B236" s="247"/>
      <c r="C236" s="279"/>
      <c r="D236" s="251" t="s">
        <v>1020</v>
      </c>
      <c r="E236" s="279"/>
      <c r="F236" s="245"/>
      <c r="G236" s="245"/>
      <c r="H236" s="182"/>
      <c r="I236" s="279"/>
      <c r="J236" s="280"/>
      <c r="K236" s="244"/>
      <c r="L236" s="245"/>
      <c r="M236" s="182"/>
      <c r="N236" s="182"/>
      <c r="O236" s="241"/>
      <c r="P236" s="241"/>
      <c r="Q236" s="241"/>
      <c r="R236" s="241"/>
      <c r="S236" s="241"/>
      <c r="T236" s="241"/>
      <c r="U236" s="241"/>
      <c r="V236" s="241"/>
      <c r="W236" s="241"/>
      <c r="X236" s="241"/>
    </row>
    <row r="237" spans="1:24" x14ac:dyDescent="0.15">
      <c r="A237" s="247"/>
      <c r="B237" s="247"/>
      <c r="C237" s="279"/>
      <c r="D237" s="251" t="s">
        <v>1021</v>
      </c>
      <c r="E237" s="279"/>
      <c r="F237" s="245"/>
      <c r="G237" s="245"/>
      <c r="H237" s="182"/>
      <c r="I237" s="279"/>
      <c r="J237" s="280"/>
      <c r="K237" s="244"/>
      <c r="L237" s="245"/>
      <c r="M237" s="251"/>
      <c r="N237" s="182"/>
      <c r="O237" s="241"/>
      <c r="P237" s="241"/>
      <c r="Q237" s="241"/>
      <c r="R237" s="241"/>
      <c r="S237" s="241"/>
      <c r="T237" s="241"/>
      <c r="U237" s="241"/>
      <c r="V237" s="241"/>
      <c r="W237" s="241"/>
      <c r="X237" s="241"/>
    </row>
    <row r="238" spans="1:24" x14ac:dyDescent="0.15">
      <c r="A238" s="247"/>
      <c r="B238" s="247"/>
      <c r="C238" s="279"/>
      <c r="D238" s="251" t="s">
        <v>1022</v>
      </c>
      <c r="E238" s="279"/>
      <c r="F238" s="245"/>
      <c r="G238" s="245"/>
      <c r="H238" s="182"/>
      <c r="I238" s="279"/>
      <c r="J238" s="280"/>
      <c r="K238" s="244"/>
      <c r="L238" s="245"/>
      <c r="M238" s="251"/>
      <c r="N238" s="182"/>
      <c r="O238" s="241"/>
      <c r="P238" s="241"/>
      <c r="Q238" s="241"/>
      <c r="R238" s="241"/>
      <c r="S238" s="241"/>
      <c r="T238" s="241"/>
      <c r="U238" s="241"/>
      <c r="V238" s="241"/>
      <c r="W238" s="241"/>
      <c r="X238" s="241"/>
    </row>
    <row r="239" spans="1:24" x14ac:dyDescent="0.15">
      <c r="A239" s="247"/>
      <c r="B239" s="247"/>
      <c r="C239" s="279"/>
      <c r="D239" s="279"/>
      <c r="E239" s="279"/>
      <c r="F239" s="279"/>
      <c r="G239" s="182"/>
      <c r="H239" s="182"/>
      <c r="I239" s="279"/>
      <c r="J239" s="280"/>
      <c r="K239" s="244"/>
      <c r="L239" s="245"/>
      <c r="M239" s="251"/>
      <c r="N239" s="182"/>
      <c r="O239" s="241"/>
      <c r="P239" s="241"/>
      <c r="Q239" s="241"/>
      <c r="R239" s="241"/>
      <c r="S239" s="241"/>
      <c r="T239" s="241"/>
      <c r="U239" s="241"/>
      <c r="V239" s="241"/>
      <c r="W239" s="241"/>
      <c r="X239" s="241"/>
    </row>
    <row r="240" spans="1:24" ht="15.75" x14ac:dyDescent="0.15">
      <c r="A240" s="247"/>
      <c r="B240" s="245"/>
      <c r="C240" s="247" t="s">
        <v>1023</v>
      </c>
      <c r="D240" s="279"/>
      <c r="E240" s="279"/>
      <c r="F240" s="279"/>
      <c r="G240" s="279"/>
      <c r="H240" s="182"/>
      <c r="I240" s="279"/>
      <c r="J240" s="280"/>
      <c r="K240" s="244"/>
      <c r="L240" s="245"/>
      <c r="M240" s="251"/>
      <c r="N240" s="182"/>
      <c r="O240" s="241"/>
      <c r="P240" s="241"/>
      <c r="Q240" s="241"/>
      <c r="R240" s="241"/>
      <c r="S240" s="241"/>
      <c r="T240" s="241"/>
      <c r="U240" s="241"/>
      <c r="V240" s="241"/>
      <c r="W240" s="241"/>
      <c r="X240" s="241"/>
    </row>
    <row r="241" spans="1:24" x14ac:dyDescent="0.15">
      <c r="A241" s="247"/>
      <c r="B241" s="245"/>
      <c r="C241" s="245"/>
      <c r="D241" s="251" t="s">
        <v>1024</v>
      </c>
      <c r="E241" s="245"/>
      <c r="F241" s="182" t="s">
        <v>818</v>
      </c>
      <c r="G241" s="182" t="s">
        <v>1025</v>
      </c>
      <c r="H241" s="182"/>
      <c r="I241" s="279"/>
      <c r="J241" s="280"/>
      <c r="K241" s="244"/>
      <c r="L241" s="245"/>
      <c r="M241" s="251"/>
      <c r="N241" s="182"/>
      <c r="O241" s="241"/>
      <c r="P241" s="241"/>
      <c r="Q241" s="241"/>
      <c r="R241" s="241"/>
      <c r="S241" s="241"/>
      <c r="T241" s="241"/>
      <c r="U241" s="241"/>
      <c r="V241" s="241"/>
      <c r="W241" s="241"/>
      <c r="X241" s="241"/>
    </row>
    <row r="242" spans="1:24" x14ac:dyDescent="0.15">
      <c r="A242" s="247"/>
      <c r="B242" s="245"/>
      <c r="C242" s="245"/>
      <c r="D242" s="251" t="s">
        <v>1026</v>
      </c>
      <c r="E242" s="245"/>
      <c r="F242" s="182" t="s">
        <v>818</v>
      </c>
      <c r="G242" s="182" t="s">
        <v>1027</v>
      </c>
      <c r="H242" s="182"/>
      <c r="I242" s="279"/>
      <c r="J242" s="280"/>
      <c r="K242" s="244"/>
      <c r="L242" s="245"/>
      <c r="M242" s="182"/>
      <c r="N242" s="251"/>
      <c r="O242" s="241"/>
      <c r="P242" s="241"/>
      <c r="Q242" s="241"/>
      <c r="R242" s="241"/>
      <c r="S242" s="241"/>
      <c r="T242" s="241"/>
      <c r="U242" s="241"/>
      <c r="V242" s="241"/>
      <c r="W242" s="241"/>
      <c r="X242" s="241"/>
    </row>
    <row r="243" spans="1:24" x14ac:dyDescent="0.15">
      <c r="A243" s="247"/>
      <c r="B243" s="245"/>
      <c r="C243" s="245"/>
      <c r="D243" s="251" t="s">
        <v>1028</v>
      </c>
      <c r="E243" s="245"/>
      <c r="F243" s="182" t="s">
        <v>818</v>
      </c>
      <c r="G243" s="182" t="s">
        <v>1029</v>
      </c>
      <c r="H243" s="182"/>
      <c r="I243" s="279"/>
      <c r="J243" s="280"/>
      <c r="K243" s="244"/>
      <c r="L243" s="245"/>
      <c r="M243" s="251"/>
      <c r="N243" s="251"/>
      <c r="O243" s="241"/>
      <c r="P243" s="241"/>
      <c r="Q243" s="241"/>
      <c r="R243" s="241"/>
      <c r="S243" s="241"/>
      <c r="T243" s="241"/>
      <c r="U243" s="241"/>
      <c r="V243" s="241"/>
      <c r="W243" s="241"/>
      <c r="X243" s="241"/>
    </row>
    <row r="244" spans="1:24" x14ac:dyDescent="0.15">
      <c r="A244" s="247"/>
      <c r="B244" s="245"/>
      <c r="C244" s="245"/>
      <c r="D244" s="251" t="s">
        <v>1030</v>
      </c>
      <c r="E244" s="245"/>
      <c r="F244" s="182" t="s">
        <v>818</v>
      </c>
      <c r="G244" s="182" t="s">
        <v>1031</v>
      </c>
      <c r="H244" s="182"/>
      <c r="I244" s="279"/>
      <c r="J244" s="280"/>
      <c r="K244" s="244"/>
      <c r="L244" s="245"/>
      <c r="M244" s="251"/>
      <c r="N244" s="251"/>
      <c r="O244" s="241"/>
      <c r="P244" s="241"/>
      <c r="Q244" s="241"/>
      <c r="R244" s="241"/>
      <c r="S244" s="241"/>
      <c r="T244" s="241"/>
      <c r="U244" s="241"/>
      <c r="V244" s="241"/>
      <c r="W244" s="241"/>
      <c r="X244" s="241"/>
    </row>
    <row r="245" spans="1:24" x14ac:dyDescent="0.15">
      <c r="A245" s="247"/>
      <c r="B245" s="247"/>
      <c r="C245" s="279"/>
      <c r="D245" s="279"/>
      <c r="E245" s="279"/>
      <c r="F245" s="279"/>
      <c r="G245" s="182"/>
      <c r="H245" s="182"/>
      <c r="I245" s="279"/>
      <c r="J245" s="280"/>
      <c r="K245" s="244"/>
      <c r="L245" s="245"/>
      <c r="M245" s="182"/>
      <c r="N245" s="251"/>
      <c r="O245" s="241"/>
      <c r="P245" s="241"/>
      <c r="Q245" s="241"/>
      <c r="R245" s="241"/>
      <c r="S245" s="241"/>
      <c r="T245" s="241"/>
      <c r="U245" s="241"/>
      <c r="V245" s="241"/>
      <c r="W245" s="241"/>
      <c r="X245" s="241"/>
    </row>
    <row r="246" spans="1:24" x14ac:dyDescent="0.15">
      <c r="A246" s="247"/>
      <c r="B246" s="245"/>
      <c r="C246" s="283" t="s">
        <v>1018</v>
      </c>
      <c r="D246" s="182" t="s">
        <v>840</v>
      </c>
      <c r="E246" s="182" t="s">
        <v>818</v>
      </c>
      <c r="F246" s="248">
        <f>J69</f>
        <v>14.579999999999998</v>
      </c>
      <c r="G246" s="245"/>
      <c r="H246" s="182"/>
      <c r="I246" s="279"/>
      <c r="J246" s="280"/>
      <c r="K246" s="244"/>
      <c r="L246" s="245"/>
      <c r="M246" s="182"/>
      <c r="N246" s="251"/>
      <c r="O246" s="241"/>
      <c r="P246" s="241"/>
      <c r="Q246" s="241"/>
      <c r="R246" s="241"/>
      <c r="S246" s="241"/>
      <c r="T246" s="241"/>
      <c r="U246" s="241"/>
      <c r="V246" s="241"/>
      <c r="W246" s="241"/>
      <c r="X246" s="241"/>
    </row>
    <row r="247" spans="1:24" x14ac:dyDescent="0.15">
      <c r="A247" s="247"/>
      <c r="B247" s="245"/>
      <c r="C247" s="247"/>
      <c r="D247" s="182" t="s">
        <v>952</v>
      </c>
      <c r="E247" s="182" t="s">
        <v>818</v>
      </c>
      <c r="F247" s="248">
        <f>J176</f>
        <v>14.854644735062909</v>
      </c>
      <c r="G247" s="245"/>
      <c r="H247" s="182"/>
      <c r="I247" s="279"/>
      <c r="J247" s="280"/>
      <c r="K247" s="244"/>
      <c r="L247" s="245"/>
      <c r="M247" s="182"/>
      <c r="N247" s="182"/>
      <c r="O247" s="241"/>
      <c r="P247" s="241"/>
      <c r="Q247" s="241"/>
      <c r="R247" s="241"/>
      <c r="S247" s="241"/>
      <c r="T247" s="241"/>
      <c r="U247" s="241"/>
      <c r="V247" s="241"/>
      <c r="W247" s="241"/>
      <c r="X247" s="241"/>
    </row>
    <row r="248" spans="1:24" x14ac:dyDescent="0.15">
      <c r="A248" s="247"/>
      <c r="B248" s="245"/>
      <c r="C248" s="247"/>
      <c r="D248" s="182" t="s">
        <v>794</v>
      </c>
      <c r="E248" s="182" t="s">
        <v>818</v>
      </c>
      <c r="F248" s="296">
        <f>G31</f>
        <v>1.1499999999999999</v>
      </c>
      <c r="G248" s="245"/>
      <c r="H248" s="182"/>
      <c r="I248" s="279"/>
      <c r="J248" s="280"/>
      <c r="K248" s="244"/>
      <c r="L248" s="245"/>
      <c r="M248" s="182"/>
      <c r="N248" s="251"/>
      <c r="O248" s="241"/>
      <c r="P248" s="241"/>
      <c r="Q248" s="241"/>
      <c r="R248" s="241"/>
      <c r="S248" s="241"/>
      <c r="T248" s="241"/>
      <c r="U248" s="241"/>
      <c r="V248" s="241"/>
      <c r="W248" s="241"/>
      <c r="X248" s="241"/>
    </row>
    <row r="249" spans="1:24" x14ac:dyDescent="0.15">
      <c r="A249" s="247"/>
      <c r="B249" s="245"/>
      <c r="C249" s="247"/>
      <c r="D249" s="182" t="s">
        <v>983</v>
      </c>
      <c r="E249" s="182" t="s">
        <v>818</v>
      </c>
      <c r="F249" s="296">
        <f>J208</f>
        <v>1.1606243874907227</v>
      </c>
      <c r="G249" s="245"/>
      <c r="H249" s="182"/>
      <c r="I249" s="279"/>
      <c r="J249" s="280"/>
      <c r="K249" s="244"/>
      <c r="L249" s="245"/>
      <c r="M249" s="182"/>
      <c r="N249" s="251"/>
      <c r="O249" s="241"/>
      <c r="P249" s="241"/>
      <c r="Q249" s="241"/>
      <c r="R249" s="241"/>
      <c r="S249" s="241"/>
      <c r="T249" s="241"/>
      <c r="U249" s="241"/>
      <c r="V249" s="241"/>
      <c r="W249" s="241"/>
      <c r="X249" s="241"/>
    </row>
    <row r="250" spans="1:24" x14ac:dyDescent="0.15">
      <c r="A250" s="247"/>
      <c r="B250" s="247"/>
      <c r="C250" s="279"/>
      <c r="D250" s="279"/>
      <c r="E250" s="279"/>
      <c r="F250" s="279"/>
      <c r="G250" s="182"/>
      <c r="H250" s="182"/>
      <c r="I250" s="279"/>
      <c r="J250" s="280"/>
      <c r="K250" s="244"/>
      <c r="L250" s="245"/>
      <c r="M250" s="182"/>
      <c r="N250" s="251"/>
      <c r="O250" s="241"/>
      <c r="P250" s="241"/>
      <c r="Q250" s="241"/>
      <c r="R250" s="241"/>
      <c r="S250" s="241"/>
      <c r="T250" s="241"/>
      <c r="U250" s="241"/>
      <c r="V250" s="241"/>
      <c r="W250" s="241"/>
      <c r="X250" s="241"/>
    </row>
    <row r="251" spans="1:24" x14ac:dyDescent="0.15">
      <c r="A251" s="247"/>
      <c r="B251" s="245"/>
      <c r="C251" s="283" t="s">
        <v>1032</v>
      </c>
      <c r="D251" s="182" t="str">
        <f>IF(F246&lt;F247,"V1&lt;V5、",IF(F246=F247,"V1=V5、","V1&gt;V5、"))</f>
        <v>V1&lt;V5、</v>
      </c>
      <c r="E251" s="182" t="str">
        <f>IF(F248&lt;F249,"ρ1&lt;ρ6",IF(F248=F249,"ρ1=ρ6","ρ1&gt;ρ6"))</f>
        <v>ρ1&lt;ρ6</v>
      </c>
      <c r="F251" s="182" t="s">
        <v>1033</v>
      </c>
      <c r="G251" s="182" t="str">
        <f>IF(OR(D251="V1&lt;V5、",D251="V1=V5、"),O344,P344)</f>
        <v>Case 1</v>
      </c>
      <c r="H251" s="297" t="s">
        <v>1034</v>
      </c>
      <c r="I251" s="251" t="str">
        <f>IF(OR(G251="Case 1",G251="Case 4"),"清水による比重調整を行う。",IF(OR(G251="Case 2",G251="Case 5"),"比重調整は行わない。",IF(OR(G251="Case 3",G251="Case 6"),"泥水による比重調整を行う。",IF(G251="Case 7","清水による比重調整を行う。",IF(OR(G251="Case 8",G251="Case 9"),"泥水、清水による比重調整を行う。","")))))</f>
        <v>清水による比重調整を行う。</v>
      </c>
      <c r="J251" s="245"/>
      <c r="K251" s="244"/>
      <c r="L251" s="245"/>
      <c r="M251" s="182"/>
      <c r="N251" s="251"/>
      <c r="O251" s="241"/>
      <c r="P251" s="241"/>
      <c r="Q251" s="241"/>
      <c r="R251" s="241"/>
      <c r="S251" s="241"/>
      <c r="T251" s="241"/>
      <c r="U251" s="241"/>
      <c r="V251" s="241"/>
      <c r="W251" s="241"/>
      <c r="X251" s="241"/>
    </row>
    <row r="252" spans="1:24" x14ac:dyDescent="0.15">
      <c r="A252" s="247"/>
      <c r="B252" s="247"/>
      <c r="C252" s="279"/>
      <c r="D252" s="279"/>
      <c r="E252" s="279"/>
      <c r="F252" s="279"/>
      <c r="G252" s="182"/>
      <c r="H252" s="182"/>
      <c r="I252" s="279"/>
      <c r="J252" s="280"/>
      <c r="K252" s="244"/>
      <c r="L252" s="245"/>
      <c r="M252" s="247" t="s">
        <v>1035</v>
      </c>
      <c r="N252" s="279"/>
      <c r="O252" s="279"/>
      <c r="P252" s="279"/>
      <c r="Q252" s="279"/>
      <c r="R252" s="182"/>
      <c r="S252" s="182"/>
      <c r="T252" s="279"/>
      <c r="U252" s="280"/>
      <c r="V252" s="244"/>
      <c r="X252" s="241"/>
    </row>
    <row r="253" spans="1:24" x14ac:dyDescent="0.15">
      <c r="A253" s="247"/>
      <c r="B253" s="245"/>
      <c r="C253" s="247" t="s">
        <v>1036</v>
      </c>
      <c r="D253" s="279"/>
      <c r="E253" s="279"/>
      <c r="F253" s="279"/>
      <c r="G253" s="182"/>
      <c r="H253" s="182"/>
      <c r="I253" s="279"/>
      <c r="J253" s="280"/>
      <c r="K253" s="244"/>
      <c r="L253" s="245"/>
      <c r="M253" s="247" t="s">
        <v>1037</v>
      </c>
      <c r="N253" s="279"/>
      <c r="O253" s="279"/>
      <c r="P253" s="279"/>
      <c r="Q253" s="279"/>
      <c r="R253" s="182"/>
      <c r="S253" s="182"/>
      <c r="T253" s="279"/>
      <c r="U253" s="280"/>
      <c r="V253" s="244"/>
      <c r="X253" s="241"/>
    </row>
    <row r="254" spans="1:24" x14ac:dyDescent="0.15">
      <c r="A254" s="247"/>
      <c r="B254" s="245"/>
      <c r="C254" s="279"/>
      <c r="D254" s="279"/>
      <c r="E254" s="279"/>
      <c r="F254" s="279"/>
      <c r="G254" s="182"/>
      <c r="H254" s="182"/>
      <c r="I254" s="279"/>
      <c r="J254" s="280"/>
      <c r="K254" s="244"/>
      <c r="L254" s="245"/>
      <c r="M254" s="247" t="s">
        <v>1038</v>
      </c>
      <c r="N254" s="279"/>
      <c r="O254" s="279"/>
      <c r="P254" s="279"/>
      <c r="Q254" s="279"/>
      <c r="R254" s="182"/>
      <c r="S254" s="182"/>
      <c r="T254" s="279"/>
      <c r="U254" s="280"/>
      <c r="V254" s="244"/>
      <c r="W254" s="241"/>
      <c r="X254" s="241"/>
    </row>
    <row r="255" spans="1:24" ht="14.25" x14ac:dyDescent="0.15">
      <c r="A255" s="247"/>
      <c r="B255" s="245"/>
      <c r="C255" s="279"/>
      <c r="D255" s="251" t="s">
        <v>1024</v>
      </c>
      <c r="E255" s="245"/>
      <c r="F255" s="182" t="s">
        <v>1039</v>
      </c>
      <c r="G255" s="182" t="s">
        <v>818</v>
      </c>
      <c r="H255" s="182" t="s">
        <v>1040</v>
      </c>
      <c r="I255" s="182" t="s">
        <v>818</v>
      </c>
      <c r="J255" s="248">
        <f>MAX(O348:P348)*J197</f>
        <v>0.96438387740893572</v>
      </c>
      <c r="K255" s="244" t="s">
        <v>842</v>
      </c>
      <c r="L255" s="245"/>
      <c r="M255" s="247"/>
      <c r="N255" s="279"/>
      <c r="O255" s="279"/>
      <c r="P255" s="279"/>
      <c r="Q255" s="279"/>
      <c r="R255" s="182"/>
      <c r="S255" s="182"/>
      <c r="T255" s="279"/>
      <c r="U255" s="280"/>
      <c r="V255" s="244"/>
      <c r="W255" s="241"/>
      <c r="X255" s="241"/>
    </row>
    <row r="256" spans="1:24" ht="14.25" x14ac:dyDescent="0.15">
      <c r="A256" s="247"/>
      <c r="B256" s="245"/>
      <c r="C256" s="279"/>
      <c r="D256" s="251" t="s">
        <v>1026</v>
      </c>
      <c r="E256" s="245"/>
      <c r="F256" s="182" t="s">
        <v>1041</v>
      </c>
      <c r="G256" s="182" t="s">
        <v>818</v>
      </c>
      <c r="H256" s="182" t="s">
        <v>1042</v>
      </c>
      <c r="I256" s="182" t="s">
        <v>818</v>
      </c>
      <c r="J256" s="248">
        <f>MAX(O349:P349)</f>
        <v>0.27464473506291043</v>
      </c>
      <c r="K256" s="244" t="s">
        <v>842</v>
      </c>
      <c r="L256" s="245"/>
      <c r="M256" s="247"/>
      <c r="N256" s="247" t="s">
        <v>1043</v>
      </c>
      <c r="O256" s="247"/>
      <c r="P256" s="247"/>
      <c r="Q256" s="247"/>
      <c r="R256" s="182"/>
      <c r="S256" s="182"/>
      <c r="T256" s="279"/>
      <c r="U256" s="280"/>
      <c r="V256" s="244"/>
      <c r="W256" s="241"/>
      <c r="X256" s="241"/>
    </row>
    <row r="257" spans="1:24" ht="14.25" x14ac:dyDescent="0.15">
      <c r="A257" s="247"/>
      <c r="B257" s="245"/>
      <c r="C257" s="279"/>
      <c r="D257" s="251" t="s">
        <v>1028</v>
      </c>
      <c r="E257" s="245"/>
      <c r="F257" s="182" t="s">
        <v>1044</v>
      </c>
      <c r="G257" s="182" t="s">
        <v>818</v>
      </c>
      <c r="H257" s="182" t="s">
        <v>1045</v>
      </c>
      <c r="I257" s="182" t="s">
        <v>818</v>
      </c>
      <c r="J257" s="248">
        <f>MAX(O350:P350)*J197</f>
        <v>0</v>
      </c>
      <c r="K257" s="244" t="s">
        <v>842</v>
      </c>
      <c r="L257" s="245"/>
      <c r="M257" s="247"/>
      <c r="N257" s="279"/>
      <c r="O257" s="279"/>
      <c r="P257" s="279"/>
      <c r="Q257" s="279"/>
      <c r="R257" s="182"/>
      <c r="S257" s="182"/>
      <c r="T257" s="279"/>
      <c r="U257" s="280"/>
      <c r="V257" s="244"/>
      <c r="W257" s="241"/>
      <c r="X257" s="241"/>
    </row>
    <row r="258" spans="1:24" ht="14.25" x14ac:dyDescent="0.15">
      <c r="A258" s="247"/>
      <c r="B258" s="245"/>
      <c r="C258" s="279"/>
      <c r="D258" s="251" t="s">
        <v>1030</v>
      </c>
      <c r="E258" s="245"/>
      <c r="F258" s="182" t="s">
        <v>1046</v>
      </c>
      <c r="G258" s="182" t="s">
        <v>818</v>
      </c>
      <c r="H258" s="182" t="s">
        <v>1047</v>
      </c>
      <c r="I258" s="182" t="s">
        <v>818</v>
      </c>
      <c r="J258" s="248">
        <f>MAX(O351:P351)*J197</f>
        <v>0.96438387740893572</v>
      </c>
      <c r="K258" s="244" t="s">
        <v>842</v>
      </c>
      <c r="L258" s="245"/>
      <c r="M258" s="247"/>
      <c r="N258" s="247" t="s">
        <v>1048</v>
      </c>
      <c r="O258" s="279"/>
      <c r="P258" s="279"/>
      <c r="Q258" s="279"/>
      <c r="R258" s="182"/>
      <c r="S258" s="182"/>
      <c r="T258" s="279"/>
      <c r="U258" s="280"/>
      <c r="V258" s="244"/>
      <c r="W258" s="241"/>
      <c r="X258" s="241"/>
    </row>
    <row r="259" spans="1:24" x14ac:dyDescent="0.15">
      <c r="A259" s="247"/>
      <c r="B259" s="245"/>
      <c r="C259" s="247"/>
      <c r="D259" s="245"/>
      <c r="E259" s="283"/>
      <c r="F259" s="247"/>
      <c r="G259" s="247"/>
      <c r="H259" s="182"/>
      <c r="I259" s="279"/>
      <c r="J259" s="280"/>
      <c r="K259" s="244"/>
      <c r="L259" s="245"/>
      <c r="M259" s="247"/>
      <c r="N259" s="279"/>
      <c r="O259" s="279"/>
      <c r="P259" s="279"/>
      <c r="Q259" s="279"/>
      <c r="R259" s="182"/>
      <c r="S259" s="182"/>
      <c r="T259" s="279"/>
      <c r="U259" s="280"/>
      <c r="V259" s="244"/>
      <c r="W259" s="241"/>
      <c r="X259" s="241"/>
    </row>
    <row r="260" spans="1:24" x14ac:dyDescent="0.15">
      <c r="A260" s="247" t="s">
        <v>988</v>
      </c>
      <c r="B260" s="245"/>
      <c r="C260" s="247"/>
      <c r="D260" s="245"/>
      <c r="E260" s="283"/>
      <c r="F260" s="247"/>
      <c r="G260" s="247"/>
      <c r="H260" s="182"/>
      <c r="I260" s="279"/>
      <c r="J260" s="280"/>
      <c r="K260" s="244"/>
      <c r="L260" s="245"/>
      <c r="M260" s="247"/>
      <c r="N260" s="245"/>
      <c r="O260" s="251" t="s">
        <v>1024</v>
      </c>
      <c r="P260" s="245"/>
      <c r="Q260" s="182" t="s">
        <v>1049</v>
      </c>
      <c r="R260" s="182" t="s">
        <v>818</v>
      </c>
      <c r="S260" s="251" t="s">
        <v>1050</v>
      </c>
      <c r="T260" s="279"/>
      <c r="U260" s="280">
        <f>(G31-J208)*J55/(1-J208)</f>
        <v>0.59529868975860234</v>
      </c>
      <c r="V260" s="244"/>
      <c r="W260" s="241"/>
      <c r="X260" s="241"/>
    </row>
    <row r="261" spans="1:24" x14ac:dyDescent="0.15">
      <c r="A261" s="247"/>
      <c r="B261" s="247"/>
      <c r="C261" s="247"/>
      <c r="D261" s="247"/>
      <c r="E261" s="283"/>
      <c r="F261" s="247"/>
      <c r="G261" s="182"/>
      <c r="H261" s="182"/>
      <c r="I261" s="279"/>
      <c r="J261" s="280"/>
      <c r="K261" s="244"/>
      <c r="L261" s="245"/>
      <c r="M261" s="247"/>
      <c r="N261" s="245"/>
      <c r="O261" s="251" t="s">
        <v>1026</v>
      </c>
      <c r="P261" s="245"/>
      <c r="Q261" s="182" t="s">
        <v>1051</v>
      </c>
      <c r="R261" s="182" t="s">
        <v>818</v>
      </c>
      <c r="S261" s="251" t="s">
        <v>1052</v>
      </c>
      <c r="T261" s="279"/>
      <c r="U261" s="280">
        <f>J176-J69</f>
        <v>0.27464473506291043</v>
      </c>
      <c r="V261" s="244"/>
      <c r="W261" s="241"/>
      <c r="X261" s="241"/>
    </row>
    <row r="262" spans="1:24" x14ac:dyDescent="0.15">
      <c r="A262" s="247"/>
      <c r="B262" s="247" t="s">
        <v>829</v>
      </c>
      <c r="C262" s="247"/>
      <c r="D262" s="182" t="s">
        <v>1053</v>
      </c>
      <c r="E262" s="182" t="s">
        <v>818</v>
      </c>
      <c r="F262" s="247" t="s">
        <v>1054</v>
      </c>
      <c r="G262" s="182"/>
      <c r="H262" s="182"/>
      <c r="I262" s="182" t="s">
        <v>818</v>
      </c>
      <c r="J262" s="280">
        <f>J263*G37</f>
        <v>0.24602331644693776</v>
      </c>
      <c r="K262" s="244" t="s">
        <v>846</v>
      </c>
      <c r="L262" s="245"/>
      <c r="M262" s="247"/>
      <c r="N262" s="245"/>
      <c r="O262" s="251" t="s">
        <v>1028</v>
      </c>
      <c r="P262" s="245"/>
      <c r="Q262" s="182" t="s">
        <v>1055</v>
      </c>
      <c r="R262" s="182" t="s">
        <v>818</v>
      </c>
      <c r="S262" s="298" t="s">
        <v>1056</v>
      </c>
      <c r="T262" s="279"/>
      <c r="U262" s="280">
        <v>0</v>
      </c>
      <c r="V262" s="244"/>
      <c r="W262" s="241"/>
      <c r="X262" s="241"/>
    </row>
    <row r="263" spans="1:24" ht="14.25" x14ac:dyDescent="0.15">
      <c r="A263" s="247"/>
      <c r="B263" s="247"/>
      <c r="C263" s="247"/>
      <c r="D263" s="182" t="s">
        <v>1057</v>
      </c>
      <c r="E263" s="182" t="s">
        <v>818</v>
      </c>
      <c r="F263" s="247" t="s">
        <v>1058</v>
      </c>
      <c r="G263" s="182"/>
      <c r="H263" s="182"/>
      <c r="I263" s="182" t="s">
        <v>818</v>
      </c>
      <c r="J263" s="280">
        <f>J255*F249*J210/G37/100</f>
        <v>9.1119746832199158E-2</v>
      </c>
      <c r="K263" s="244" t="s">
        <v>842</v>
      </c>
      <c r="L263" s="245"/>
      <c r="M263" s="247"/>
      <c r="N263" s="245"/>
      <c r="O263" s="251" t="s">
        <v>1030</v>
      </c>
      <c r="P263" s="245"/>
      <c r="Q263" s="182" t="s">
        <v>1059</v>
      </c>
      <c r="R263" s="182" t="s">
        <v>818</v>
      </c>
      <c r="S263" s="251" t="s">
        <v>1050</v>
      </c>
      <c r="T263" s="279"/>
      <c r="U263" s="280">
        <f>U260</f>
        <v>0.59529868975860234</v>
      </c>
      <c r="V263" s="244"/>
      <c r="W263" s="241"/>
      <c r="X263" s="241"/>
    </row>
    <row r="264" spans="1:24" x14ac:dyDescent="0.15">
      <c r="A264" s="247"/>
      <c r="B264" s="247"/>
      <c r="C264" s="247"/>
      <c r="D264" s="247"/>
      <c r="E264" s="247"/>
      <c r="F264" s="247"/>
      <c r="G264" s="182"/>
      <c r="H264" s="182"/>
      <c r="I264" s="279"/>
      <c r="J264" s="280"/>
      <c r="K264" s="244"/>
      <c r="L264" s="245"/>
      <c r="M264" s="247"/>
      <c r="N264" s="279"/>
      <c r="O264" s="279"/>
      <c r="P264" s="279"/>
      <c r="Q264" s="279"/>
      <c r="R264" s="182"/>
      <c r="S264" s="182"/>
      <c r="T264" s="279"/>
      <c r="U264" s="280"/>
      <c r="V264" s="244"/>
      <c r="W264" s="241"/>
      <c r="X264" s="241"/>
    </row>
    <row r="265" spans="1:24" x14ac:dyDescent="0.15">
      <c r="A265" s="247"/>
      <c r="B265" s="247" t="s">
        <v>834</v>
      </c>
      <c r="C265" s="247"/>
      <c r="D265" s="182" t="s">
        <v>1060</v>
      </c>
      <c r="E265" s="182" t="s">
        <v>818</v>
      </c>
      <c r="F265" s="247" t="s">
        <v>1061</v>
      </c>
      <c r="G265" s="182"/>
      <c r="H265" s="182"/>
      <c r="I265" s="182" t="s">
        <v>818</v>
      </c>
      <c r="J265" s="280">
        <f>J266</f>
        <v>0.87326413057673657</v>
      </c>
      <c r="K265" s="244" t="s">
        <v>846</v>
      </c>
      <c r="L265" s="245"/>
      <c r="M265" s="247" t="s">
        <v>1062</v>
      </c>
      <c r="N265" s="279"/>
      <c r="O265" s="279"/>
      <c r="P265" s="279"/>
      <c r="Q265" s="279"/>
      <c r="R265" s="182"/>
      <c r="S265" s="182"/>
      <c r="T265" s="279"/>
      <c r="U265" s="280"/>
      <c r="V265" s="244"/>
      <c r="W265" s="241"/>
      <c r="X265" s="241"/>
    </row>
    <row r="266" spans="1:24" ht="14.25" x14ac:dyDescent="0.15">
      <c r="A266" s="247"/>
      <c r="B266" s="247"/>
      <c r="C266" s="247"/>
      <c r="D266" s="182" t="s">
        <v>1061</v>
      </c>
      <c r="E266" s="182" t="s">
        <v>818</v>
      </c>
      <c r="F266" s="247" t="s">
        <v>1063</v>
      </c>
      <c r="G266" s="182"/>
      <c r="H266" s="182"/>
      <c r="I266" s="182" t="s">
        <v>818</v>
      </c>
      <c r="J266" s="280">
        <f>J255-J263</f>
        <v>0.87326413057673657</v>
      </c>
      <c r="K266" s="244" t="s">
        <v>842</v>
      </c>
      <c r="L266" s="245"/>
      <c r="M266" s="247" t="s">
        <v>1064</v>
      </c>
      <c r="N266" s="247"/>
      <c r="O266" s="279"/>
      <c r="P266" s="279"/>
      <c r="Q266" s="279"/>
      <c r="R266" s="182"/>
      <c r="S266" s="182"/>
      <c r="T266" s="279"/>
      <c r="U266" s="280"/>
      <c r="V266" s="244"/>
      <c r="W266" s="241"/>
      <c r="X266" s="241"/>
    </row>
    <row r="267" spans="1:24" x14ac:dyDescent="0.15">
      <c r="A267" s="247"/>
      <c r="B267" s="270"/>
      <c r="C267" s="270"/>
      <c r="D267" s="270"/>
      <c r="E267" s="270"/>
      <c r="F267" s="270"/>
      <c r="G267" s="271"/>
      <c r="H267" s="271"/>
      <c r="I267" s="299"/>
      <c r="J267" s="300"/>
      <c r="K267" s="273"/>
      <c r="L267" s="245"/>
      <c r="M267" s="245"/>
      <c r="N267" s="247"/>
      <c r="O267" s="279"/>
      <c r="P267" s="279"/>
      <c r="Q267" s="279"/>
      <c r="R267" s="182"/>
      <c r="S267" s="182"/>
      <c r="T267" s="279"/>
      <c r="U267" s="280"/>
      <c r="V267" s="244"/>
      <c r="W267" s="241"/>
      <c r="X267" s="241"/>
    </row>
    <row r="268" spans="1:24" x14ac:dyDescent="0.15">
      <c r="A268" s="247"/>
      <c r="B268" s="247"/>
      <c r="C268" s="247"/>
      <c r="D268" s="182" t="s">
        <v>1065</v>
      </c>
      <c r="E268" s="182" t="s">
        <v>818</v>
      </c>
      <c r="F268" s="247" t="s">
        <v>1066</v>
      </c>
      <c r="G268" s="182"/>
      <c r="H268" s="182"/>
      <c r="I268" s="182" t="s">
        <v>818</v>
      </c>
      <c r="J268" s="248">
        <f>J262+J265</f>
        <v>1.1192874470236744</v>
      </c>
      <c r="K268" s="244" t="s">
        <v>846</v>
      </c>
      <c r="L268" s="245"/>
      <c r="M268" s="245"/>
      <c r="N268" s="247"/>
      <c r="O268" s="251" t="s">
        <v>1024</v>
      </c>
      <c r="P268" s="245"/>
      <c r="Q268" s="182" t="s">
        <v>1067</v>
      </c>
      <c r="R268" s="182" t="s">
        <v>818</v>
      </c>
      <c r="S268" s="298" t="s">
        <v>1056</v>
      </c>
      <c r="T268" s="279"/>
      <c r="U268" s="280">
        <v>0</v>
      </c>
      <c r="V268" s="244"/>
      <c r="W268" s="241"/>
      <c r="X268" s="241"/>
    </row>
    <row r="269" spans="1:24" ht="14.25" x14ac:dyDescent="0.15">
      <c r="A269" s="247"/>
      <c r="B269" s="247"/>
      <c r="C269" s="247"/>
      <c r="D269" s="182" t="s">
        <v>1068</v>
      </c>
      <c r="E269" s="182" t="s">
        <v>818</v>
      </c>
      <c r="F269" s="247" t="s">
        <v>1069</v>
      </c>
      <c r="G269" s="182"/>
      <c r="H269" s="182"/>
      <c r="I269" s="182" t="s">
        <v>818</v>
      </c>
      <c r="J269" s="248">
        <f>J263+J266</f>
        <v>0.96438387740893572</v>
      </c>
      <c r="K269" s="244" t="s">
        <v>842</v>
      </c>
      <c r="L269" s="245"/>
      <c r="M269" s="245"/>
      <c r="N269" s="247"/>
      <c r="O269" s="251" t="s">
        <v>1026</v>
      </c>
      <c r="P269" s="245"/>
      <c r="Q269" s="182" t="s">
        <v>1070</v>
      </c>
      <c r="R269" s="182" t="s">
        <v>818</v>
      </c>
      <c r="S269" s="251" t="s">
        <v>1052</v>
      </c>
      <c r="T269" s="279"/>
      <c r="U269" s="280">
        <f>U261</f>
        <v>0.27464473506291043</v>
      </c>
      <c r="V269" s="244"/>
      <c r="W269" s="241"/>
      <c r="X269" s="241"/>
    </row>
    <row r="270" spans="1:24" x14ac:dyDescent="0.15">
      <c r="A270" s="247"/>
      <c r="B270" s="247"/>
      <c r="C270" s="247"/>
      <c r="D270" s="247"/>
      <c r="E270" s="247"/>
      <c r="F270" s="247"/>
      <c r="G270" s="182"/>
      <c r="H270" s="182"/>
      <c r="I270" s="279"/>
      <c r="J270" s="280"/>
      <c r="K270" s="244"/>
      <c r="L270" s="245"/>
      <c r="M270" s="245"/>
      <c r="N270" s="247"/>
      <c r="O270" s="251" t="s">
        <v>1028</v>
      </c>
      <c r="P270" s="245"/>
      <c r="Q270" s="182" t="s">
        <v>1071</v>
      </c>
      <c r="R270" s="182" t="s">
        <v>818</v>
      </c>
      <c r="S270" s="298" t="s">
        <v>1056</v>
      </c>
      <c r="T270" s="279"/>
      <c r="U270" s="280">
        <v>0</v>
      </c>
      <c r="V270" s="244"/>
      <c r="W270" s="241"/>
      <c r="X270" s="241"/>
    </row>
    <row r="271" spans="1:24" x14ac:dyDescent="0.15">
      <c r="A271" s="247" t="s">
        <v>989</v>
      </c>
      <c r="B271" s="247"/>
      <c r="C271" s="247"/>
      <c r="D271" s="247"/>
      <c r="E271" s="247"/>
      <c r="F271" s="247"/>
      <c r="G271" s="182"/>
      <c r="H271" s="182"/>
      <c r="I271" s="279"/>
      <c r="J271" s="280"/>
      <c r="K271" s="244"/>
      <c r="L271" s="245"/>
      <c r="M271" s="245"/>
      <c r="N271" s="247"/>
      <c r="O271" s="251" t="s">
        <v>1030</v>
      </c>
      <c r="P271" s="245"/>
      <c r="Q271" s="182" t="s">
        <v>1072</v>
      </c>
      <c r="R271" s="182" t="s">
        <v>818</v>
      </c>
      <c r="S271" s="298" t="s">
        <v>1056</v>
      </c>
      <c r="T271" s="279"/>
      <c r="U271" s="280">
        <v>0</v>
      </c>
      <c r="V271" s="244"/>
      <c r="W271" s="241"/>
      <c r="X271" s="241"/>
    </row>
    <row r="272" spans="1:24" x14ac:dyDescent="0.15">
      <c r="A272" s="247"/>
      <c r="B272" s="247"/>
      <c r="C272" s="247"/>
      <c r="D272" s="247"/>
      <c r="E272" s="247"/>
      <c r="F272" s="247"/>
      <c r="G272" s="182"/>
      <c r="H272" s="182"/>
      <c r="I272" s="279"/>
      <c r="J272" s="280"/>
      <c r="K272" s="244"/>
      <c r="L272" s="245"/>
      <c r="M272" s="245"/>
      <c r="N272" s="247"/>
      <c r="O272" s="279"/>
      <c r="P272" s="279"/>
      <c r="Q272" s="279"/>
      <c r="R272" s="182"/>
      <c r="S272" s="182"/>
      <c r="T272" s="279"/>
      <c r="U272" s="280"/>
      <c r="V272" s="244"/>
      <c r="W272" s="241"/>
      <c r="X272" s="241"/>
    </row>
    <row r="273" spans="1:24" x14ac:dyDescent="0.15">
      <c r="A273" s="247"/>
      <c r="B273" s="247" t="s">
        <v>829</v>
      </c>
      <c r="C273" s="247"/>
      <c r="D273" s="182" t="s">
        <v>1073</v>
      </c>
      <c r="E273" s="182" t="s">
        <v>818</v>
      </c>
      <c r="F273" s="247" t="s">
        <v>1074</v>
      </c>
      <c r="G273" s="182"/>
      <c r="H273" s="182"/>
      <c r="I273" s="182" t="s">
        <v>818</v>
      </c>
      <c r="J273" s="280">
        <f>J274*G37</f>
        <v>7.006443196293291E-2</v>
      </c>
      <c r="K273" s="244" t="s">
        <v>846</v>
      </c>
      <c r="L273" s="245"/>
      <c r="M273" s="247" t="s">
        <v>1075</v>
      </c>
      <c r="N273" s="279"/>
      <c r="O273" s="279"/>
      <c r="P273" s="279"/>
      <c r="Q273" s="279"/>
      <c r="R273" s="182"/>
      <c r="S273" s="182"/>
      <c r="T273" s="279"/>
      <c r="U273" s="280"/>
      <c r="V273" s="244"/>
      <c r="W273" s="241"/>
      <c r="X273" s="241"/>
    </row>
    <row r="274" spans="1:24" ht="14.25" x14ac:dyDescent="0.15">
      <c r="A274" s="247"/>
      <c r="B274" s="247"/>
      <c r="C274" s="247"/>
      <c r="D274" s="182" t="s">
        <v>1076</v>
      </c>
      <c r="E274" s="182" t="s">
        <v>818</v>
      </c>
      <c r="F274" s="247" t="s">
        <v>1077</v>
      </c>
      <c r="G274" s="182"/>
      <c r="H274" s="182"/>
      <c r="I274" s="182" t="s">
        <v>818</v>
      </c>
      <c r="J274" s="280">
        <f>J256*J208*J210/G37/100</f>
        <v>2.5949789615901078E-2</v>
      </c>
      <c r="K274" s="244" t="s">
        <v>842</v>
      </c>
      <c r="L274" s="245"/>
      <c r="M274" s="247" t="s">
        <v>1078</v>
      </c>
      <c r="N274" s="247"/>
      <c r="O274" s="247"/>
      <c r="P274" s="247"/>
      <c r="Q274" s="247"/>
      <c r="R274" s="247"/>
      <c r="S274" s="182"/>
      <c r="T274" s="279"/>
      <c r="U274" s="280"/>
      <c r="V274" s="244"/>
      <c r="W274" s="241"/>
      <c r="X274" s="241"/>
    </row>
    <row r="275" spans="1:24" x14ac:dyDescent="0.15">
      <c r="A275" s="247"/>
      <c r="B275" s="247"/>
      <c r="C275" s="247"/>
      <c r="D275" s="182"/>
      <c r="E275" s="182"/>
      <c r="F275" s="247"/>
      <c r="G275" s="182"/>
      <c r="H275" s="182"/>
      <c r="I275" s="279"/>
      <c r="J275" s="280"/>
      <c r="K275" s="244"/>
      <c r="L275" s="245"/>
      <c r="M275" s="247" t="s">
        <v>1079</v>
      </c>
      <c r="N275" s="247"/>
      <c r="O275" s="247"/>
      <c r="P275" s="247"/>
      <c r="Q275" s="247"/>
      <c r="R275" s="247"/>
      <c r="S275" s="247"/>
      <c r="T275" s="247"/>
      <c r="U275" s="280"/>
      <c r="V275" s="244"/>
      <c r="W275" s="241"/>
      <c r="X275" s="241"/>
    </row>
    <row r="276" spans="1:24" x14ac:dyDescent="0.15">
      <c r="A276" s="247"/>
      <c r="B276" s="247" t="s">
        <v>834</v>
      </c>
      <c r="C276" s="247"/>
      <c r="D276" s="182" t="s">
        <v>1080</v>
      </c>
      <c r="E276" s="182" t="s">
        <v>818</v>
      </c>
      <c r="F276" s="247" t="s">
        <v>1081</v>
      </c>
      <c r="G276" s="182"/>
      <c r="H276" s="182"/>
      <c r="I276" s="182" t="s">
        <v>818</v>
      </c>
      <c r="J276" s="280">
        <f>J277</f>
        <v>0.24869494544700935</v>
      </c>
      <c r="K276" s="244" t="s">
        <v>846</v>
      </c>
      <c r="L276" s="245"/>
      <c r="M276" s="247"/>
      <c r="N276" s="279"/>
      <c r="O276" s="279"/>
      <c r="P276" s="279"/>
      <c r="Q276" s="279"/>
      <c r="R276" s="182"/>
      <c r="S276" s="182"/>
      <c r="T276" s="279"/>
      <c r="U276" s="280"/>
      <c r="V276" s="244"/>
      <c r="W276" s="241"/>
      <c r="X276" s="241"/>
    </row>
    <row r="277" spans="1:24" ht="14.25" x14ac:dyDescent="0.15">
      <c r="A277" s="247"/>
      <c r="B277" s="247"/>
      <c r="C277" s="247"/>
      <c r="D277" s="182" t="s">
        <v>1081</v>
      </c>
      <c r="E277" s="182" t="s">
        <v>818</v>
      </c>
      <c r="F277" s="247" t="s">
        <v>1082</v>
      </c>
      <c r="G277" s="182"/>
      <c r="H277" s="182"/>
      <c r="I277" s="182" t="s">
        <v>818</v>
      </c>
      <c r="J277" s="280">
        <f>J256-J274</f>
        <v>0.24869494544700935</v>
      </c>
      <c r="K277" s="244" t="s">
        <v>842</v>
      </c>
      <c r="L277" s="245"/>
      <c r="M277" s="247"/>
      <c r="N277" s="247" t="s">
        <v>1083</v>
      </c>
      <c r="O277" s="247"/>
      <c r="P277" s="247"/>
      <c r="Q277" s="247"/>
      <c r="R277" s="182"/>
      <c r="S277" s="182"/>
      <c r="T277" s="279"/>
      <c r="U277" s="280"/>
      <c r="V277" s="244"/>
      <c r="W277" s="241"/>
      <c r="X277" s="241"/>
    </row>
    <row r="278" spans="1:24" x14ac:dyDescent="0.15">
      <c r="A278" s="247"/>
      <c r="B278" s="270"/>
      <c r="C278" s="270"/>
      <c r="D278" s="270"/>
      <c r="E278" s="270"/>
      <c r="F278" s="270"/>
      <c r="G278" s="271"/>
      <c r="H278" s="271"/>
      <c r="I278" s="299"/>
      <c r="J278" s="300"/>
      <c r="K278" s="273"/>
      <c r="L278" s="245"/>
      <c r="M278" s="247"/>
      <c r="N278" s="279"/>
      <c r="O278" s="279"/>
      <c r="P278" s="279"/>
      <c r="Q278" s="279"/>
      <c r="R278" s="182"/>
      <c r="S278" s="182"/>
      <c r="T278" s="279"/>
      <c r="U278" s="280"/>
      <c r="V278" s="244"/>
      <c r="W278" s="241"/>
      <c r="X278" s="241"/>
    </row>
    <row r="279" spans="1:24" x14ac:dyDescent="0.15">
      <c r="A279" s="247"/>
      <c r="B279" s="247"/>
      <c r="C279" s="247"/>
      <c r="D279" s="182" t="s">
        <v>1084</v>
      </c>
      <c r="E279" s="182" t="s">
        <v>818</v>
      </c>
      <c r="F279" s="247" t="s">
        <v>1085</v>
      </c>
      <c r="G279" s="182"/>
      <c r="H279" s="182"/>
      <c r="I279" s="182" t="s">
        <v>818</v>
      </c>
      <c r="J279" s="280">
        <f>J273+J276</f>
        <v>0.31875937740994226</v>
      </c>
      <c r="K279" s="244" t="s">
        <v>846</v>
      </c>
      <c r="L279" s="245"/>
      <c r="M279" s="247"/>
      <c r="N279" s="247" t="s">
        <v>1086</v>
      </c>
      <c r="O279" s="279"/>
      <c r="P279" s="279"/>
      <c r="Q279" s="279"/>
      <c r="R279" s="182"/>
      <c r="S279" s="182"/>
      <c r="T279" s="279"/>
      <c r="U279" s="280"/>
      <c r="V279" s="244"/>
      <c r="W279" s="241"/>
      <c r="X279" s="241"/>
    </row>
    <row r="280" spans="1:24" ht="14.25" x14ac:dyDescent="0.15">
      <c r="A280" s="247"/>
      <c r="B280" s="247"/>
      <c r="C280" s="247"/>
      <c r="D280" s="182" t="s">
        <v>1087</v>
      </c>
      <c r="E280" s="182" t="s">
        <v>818</v>
      </c>
      <c r="F280" s="247" t="s">
        <v>1088</v>
      </c>
      <c r="G280" s="182"/>
      <c r="H280" s="182"/>
      <c r="I280" s="182" t="s">
        <v>818</v>
      </c>
      <c r="J280" s="280">
        <f>J274+J277</f>
        <v>0.27464473506291043</v>
      </c>
      <c r="K280" s="244" t="s">
        <v>842</v>
      </c>
      <c r="L280" s="245"/>
      <c r="M280" s="247"/>
      <c r="N280" s="279"/>
      <c r="O280" s="279"/>
      <c r="P280" s="279"/>
      <c r="Q280" s="279"/>
      <c r="R280" s="182"/>
      <c r="S280" s="182"/>
      <c r="T280" s="279"/>
      <c r="U280" s="280"/>
      <c r="V280" s="244"/>
      <c r="W280" s="241"/>
      <c r="X280" s="241"/>
    </row>
    <row r="281" spans="1:24" x14ac:dyDescent="0.15">
      <c r="L281" s="245"/>
      <c r="M281" s="247"/>
      <c r="N281" s="245"/>
      <c r="O281" s="251" t="s">
        <v>1024</v>
      </c>
      <c r="P281" s="245"/>
      <c r="Q281" s="182" t="s">
        <v>1067</v>
      </c>
      <c r="R281" s="182" t="s">
        <v>818</v>
      </c>
      <c r="S281" s="251" t="s">
        <v>1050</v>
      </c>
      <c r="T281" s="279"/>
      <c r="U281" s="280">
        <f>(G31-J208)*J55/(J226-J208)</f>
        <v>-0.3199741141043469</v>
      </c>
      <c r="V281" s="244"/>
      <c r="W281" s="241"/>
      <c r="X281" s="241"/>
    </row>
    <row r="282" spans="1:24" x14ac:dyDescent="0.15">
      <c r="A282" s="247" t="s">
        <v>990</v>
      </c>
      <c r="B282" s="247"/>
      <c r="C282" s="247"/>
      <c r="D282" s="247"/>
      <c r="E282" s="247"/>
      <c r="F282" s="247"/>
      <c r="G282" s="182"/>
      <c r="H282" s="182"/>
      <c r="I282" s="279"/>
      <c r="J282" s="280"/>
      <c r="K282" s="244"/>
      <c r="L282" s="245"/>
      <c r="M282" s="247"/>
      <c r="N282" s="245"/>
      <c r="O282" s="251" t="s">
        <v>1026</v>
      </c>
      <c r="P282" s="245"/>
      <c r="Q282" s="182" t="s">
        <v>1070</v>
      </c>
      <c r="R282" s="182" t="s">
        <v>818</v>
      </c>
      <c r="S282" s="251" t="s">
        <v>1052</v>
      </c>
      <c r="T282" s="279"/>
      <c r="U282" s="280">
        <f>J176-J69</f>
        <v>0.27464473506291043</v>
      </c>
      <c r="V282" s="244"/>
      <c r="W282" s="241"/>
      <c r="X282" s="241"/>
    </row>
    <row r="283" spans="1:24" x14ac:dyDescent="0.15">
      <c r="A283" s="247"/>
      <c r="B283" s="247"/>
      <c r="C283" s="247"/>
      <c r="D283" s="247"/>
      <c r="E283" s="247"/>
      <c r="F283" s="247"/>
      <c r="G283" s="182"/>
      <c r="H283" s="182"/>
      <c r="I283" s="279"/>
      <c r="J283" s="280"/>
      <c r="K283" s="244"/>
      <c r="L283" s="245"/>
      <c r="M283" s="247"/>
      <c r="N283" s="245"/>
      <c r="O283" s="251" t="s">
        <v>1028</v>
      </c>
      <c r="P283" s="245"/>
      <c r="Q283" s="182" t="s">
        <v>1071</v>
      </c>
      <c r="R283" s="182" t="s">
        <v>818</v>
      </c>
      <c r="S283" s="251" t="s">
        <v>1050</v>
      </c>
      <c r="T283" s="279"/>
      <c r="U283" s="280">
        <f>U281</f>
        <v>-0.3199741141043469</v>
      </c>
      <c r="V283" s="244"/>
      <c r="W283" s="241"/>
      <c r="X283" s="241"/>
    </row>
    <row r="284" spans="1:24" x14ac:dyDescent="0.15">
      <c r="A284" s="226"/>
      <c r="B284" s="247" t="s">
        <v>829</v>
      </c>
      <c r="C284" s="245"/>
      <c r="D284" s="182" t="s">
        <v>1089</v>
      </c>
      <c r="E284" s="182" t="s">
        <v>818</v>
      </c>
      <c r="F284" s="251" t="s">
        <v>1090</v>
      </c>
      <c r="G284" s="245"/>
      <c r="H284" s="226"/>
      <c r="I284" s="182" t="s">
        <v>818</v>
      </c>
      <c r="J284" s="248">
        <f>J285*G37</f>
        <v>0</v>
      </c>
      <c r="K284" s="244" t="s">
        <v>846</v>
      </c>
      <c r="L284" s="245"/>
      <c r="M284" s="247"/>
      <c r="N284" s="245"/>
      <c r="O284" s="251" t="s">
        <v>1030</v>
      </c>
      <c r="P284" s="245"/>
      <c r="Q284" s="182" t="s">
        <v>1072</v>
      </c>
      <c r="R284" s="182" t="s">
        <v>818</v>
      </c>
      <c r="S284" s="298" t="s">
        <v>1056</v>
      </c>
      <c r="T284" s="279"/>
      <c r="U284" s="280">
        <v>0</v>
      </c>
      <c r="V284" s="244"/>
      <c r="W284" s="241"/>
      <c r="X284" s="241"/>
    </row>
    <row r="285" spans="1:24" x14ac:dyDescent="0.15">
      <c r="A285" s="226"/>
      <c r="B285" s="247"/>
      <c r="C285" s="245"/>
      <c r="D285" s="182" t="s">
        <v>1091</v>
      </c>
      <c r="E285" s="182" t="s">
        <v>818</v>
      </c>
      <c r="F285" s="247" t="s">
        <v>1092</v>
      </c>
      <c r="G285" s="245"/>
      <c r="H285" s="226"/>
      <c r="I285" s="182" t="s">
        <v>818</v>
      </c>
      <c r="J285" s="268">
        <f>J257*J226*J210/G37/100</f>
        <v>0</v>
      </c>
      <c r="K285" s="244" t="s">
        <v>1093</v>
      </c>
      <c r="L285" s="245"/>
      <c r="W285" s="241"/>
      <c r="X285" s="241"/>
    </row>
    <row r="286" spans="1:24" x14ac:dyDescent="0.15">
      <c r="A286" s="226"/>
      <c r="B286" s="247"/>
      <c r="C286" s="245"/>
      <c r="D286" s="182"/>
      <c r="E286" s="182"/>
      <c r="F286" s="251"/>
      <c r="G286" s="245"/>
      <c r="H286" s="226"/>
      <c r="I286" s="182"/>
      <c r="J286" s="248"/>
      <c r="K286" s="244"/>
      <c r="L286" s="245"/>
      <c r="M286" s="247" t="s">
        <v>1094</v>
      </c>
      <c r="N286" s="279"/>
      <c r="O286" s="279"/>
      <c r="P286" s="279"/>
      <c r="Q286" s="279"/>
      <c r="R286" s="283"/>
      <c r="S286" s="182"/>
      <c r="T286" s="279"/>
      <c r="U286" s="280"/>
      <c r="V286" s="244"/>
      <c r="W286" s="241"/>
      <c r="X286" s="241"/>
    </row>
    <row r="287" spans="1:24" x14ac:dyDescent="0.15">
      <c r="A287" s="226"/>
      <c r="B287" s="247" t="s">
        <v>834</v>
      </c>
      <c r="C287" s="245"/>
      <c r="D287" s="182" t="s">
        <v>1095</v>
      </c>
      <c r="E287" s="182" t="s">
        <v>818</v>
      </c>
      <c r="F287" s="251" t="s">
        <v>1096</v>
      </c>
      <c r="G287" s="245"/>
      <c r="H287" s="226"/>
      <c r="I287" s="182" t="s">
        <v>818</v>
      </c>
      <c r="J287" s="248">
        <f>J288</f>
        <v>0</v>
      </c>
      <c r="K287" s="244" t="s">
        <v>846</v>
      </c>
      <c r="L287" s="245"/>
      <c r="M287" s="247" t="s">
        <v>1037</v>
      </c>
      <c r="N287" s="247"/>
      <c r="O287" s="247"/>
      <c r="P287" s="247"/>
      <c r="Q287" s="247"/>
      <c r="R287" s="283"/>
      <c r="S287" s="182"/>
      <c r="T287" s="279"/>
      <c r="U287" s="280"/>
      <c r="V287" s="244"/>
      <c r="W287" s="241"/>
      <c r="X287" s="241"/>
    </row>
    <row r="288" spans="1:24" x14ac:dyDescent="0.15">
      <c r="A288" s="226"/>
      <c r="B288" s="247"/>
      <c r="C288" s="245"/>
      <c r="D288" s="182" t="s">
        <v>1096</v>
      </c>
      <c r="E288" s="182" t="s">
        <v>818</v>
      </c>
      <c r="F288" s="247" t="s">
        <v>1097</v>
      </c>
      <c r="G288" s="245"/>
      <c r="H288" s="226"/>
      <c r="I288" s="182" t="s">
        <v>818</v>
      </c>
      <c r="J288" s="248">
        <f>J257-J285</f>
        <v>0</v>
      </c>
      <c r="K288" s="244" t="s">
        <v>1093</v>
      </c>
      <c r="L288" s="245"/>
      <c r="M288" s="247" t="s">
        <v>1098</v>
      </c>
      <c r="N288" s="247"/>
      <c r="O288" s="247"/>
      <c r="P288" s="247"/>
      <c r="Q288" s="247"/>
      <c r="R288" s="247"/>
      <c r="S288" s="247"/>
      <c r="T288" s="247"/>
      <c r="U288" s="280"/>
      <c r="V288" s="244"/>
      <c r="W288" s="241"/>
      <c r="X288" s="241"/>
    </row>
    <row r="289" spans="1:24" x14ac:dyDescent="0.15">
      <c r="A289" s="226"/>
      <c r="B289" s="270"/>
      <c r="C289" s="271"/>
      <c r="D289" s="271"/>
      <c r="E289" s="271"/>
      <c r="F289" s="271"/>
      <c r="G289" s="270"/>
      <c r="H289" s="270"/>
      <c r="I289" s="270"/>
      <c r="J289" s="281"/>
      <c r="K289" s="273"/>
      <c r="L289" s="245"/>
      <c r="M289" s="247"/>
      <c r="N289" s="279"/>
      <c r="O289" s="279"/>
      <c r="P289" s="279"/>
      <c r="Q289" s="279"/>
      <c r="R289" s="182"/>
      <c r="S289" s="182"/>
      <c r="T289" s="279"/>
      <c r="U289" s="280"/>
      <c r="V289" s="244"/>
      <c r="W289" s="241"/>
      <c r="X289" s="241"/>
    </row>
    <row r="290" spans="1:24" x14ac:dyDescent="0.15">
      <c r="A290" s="226"/>
      <c r="B290" s="247" t="s">
        <v>903</v>
      </c>
      <c r="C290" s="245"/>
      <c r="D290" s="182" t="s">
        <v>1099</v>
      </c>
      <c r="E290" s="470" t="s">
        <v>818</v>
      </c>
      <c r="F290" s="226" t="s">
        <v>1100</v>
      </c>
      <c r="G290" s="245"/>
      <c r="H290" s="226"/>
      <c r="I290" s="182" t="s">
        <v>818</v>
      </c>
      <c r="J290" s="248">
        <f>J284+J287</f>
        <v>0</v>
      </c>
      <c r="K290" s="244" t="s">
        <v>846</v>
      </c>
      <c r="L290" s="245"/>
      <c r="M290" s="247" t="s">
        <v>1101</v>
      </c>
      <c r="N290" s="279"/>
      <c r="O290" s="279"/>
      <c r="P290" s="279"/>
      <c r="Q290" s="279"/>
      <c r="R290" s="182"/>
      <c r="S290" s="182"/>
      <c r="T290" s="279"/>
      <c r="U290" s="280"/>
      <c r="V290" s="244"/>
      <c r="W290" s="241"/>
      <c r="X290" s="241"/>
    </row>
    <row r="291" spans="1:24" ht="14.25" x14ac:dyDescent="0.15">
      <c r="A291" s="226"/>
      <c r="B291" s="247"/>
      <c r="C291" s="245"/>
      <c r="D291" s="182" t="s">
        <v>1102</v>
      </c>
      <c r="E291" s="470" t="s">
        <v>818</v>
      </c>
      <c r="F291" s="226" t="s">
        <v>1103</v>
      </c>
      <c r="G291" s="245"/>
      <c r="H291" s="226"/>
      <c r="I291" s="182" t="s">
        <v>818</v>
      </c>
      <c r="J291" s="248">
        <f>J285+J288</f>
        <v>0</v>
      </c>
      <c r="K291" s="244" t="s">
        <v>842</v>
      </c>
      <c r="L291" s="245"/>
      <c r="M291" s="247"/>
      <c r="N291" s="279"/>
      <c r="O291" s="279"/>
      <c r="P291" s="279"/>
      <c r="Q291" s="279"/>
      <c r="R291" s="182"/>
      <c r="S291" s="182"/>
      <c r="T291" s="279"/>
      <c r="U291" s="280"/>
      <c r="V291" s="244"/>
      <c r="W291" s="241"/>
      <c r="X291" s="241"/>
    </row>
    <row r="292" spans="1:24" x14ac:dyDescent="0.15">
      <c r="A292" s="226"/>
      <c r="B292" s="247"/>
      <c r="C292" s="245"/>
      <c r="D292" s="182"/>
      <c r="E292" s="182"/>
      <c r="F292" s="247"/>
      <c r="G292" s="245"/>
      <c r="H292" s="247"/>
      <c r="I292" s="247"/>
      <c r="J292" s="248"/>
      <c r="K292" s="244"/>
      <c r="L292" s="245"/>
      <c r="M292" s="247"/>
      <c r="N292" s="247" t="s">
        <v>1104</v>
      </c>
      <c r="O292" s="247"/>
      <c r="P292" s="247"/>
      <c r="Q292" s="247"/>
      <c r="R292" s="182"/>
      <c r="S292" s="182"/>
      <c r="T292" s="279"/>
      <c r="U292" s="280"/>
      <c r="V292" s="244"/>
      <c r="W292" s="241"/>
      <c r="X292" s="241"/>
    </row>
    <row r="293" spans="1:24" x14ac:dyDescent="0.15">
      <c r="A293" s="247" t="s">
        <v>991</v>
      </c>
      <c r="B293" s="247"/>
      <c r="C293" s="182"/>
      <c r="D293" s="182"/>
      <c r="E293" s="182"/>
      <c r="F293" s="182"/>
      <c r="G293" s="247"/>
      <c r="H293" s="247"/>
      <c r="I293" s="247"/>
      <c r="J293" s="248"/>
      <c r="K293" s="244"/>
      <c r="L293" s="245"/>
      <c r="M293" s="247"/>
      <c r="N293" s="279"/>
      <c r="O293" s="279"/>
      <c r="P293" s="279"/>
      <c r="Q293" s="279"/>
      <c r="R293" s="182"/>
      <c r="S293" s="182"/>
      <c r="T293" s="279"/>
      <c r="U293" s="280"/>
      <c r="V293" s="244"/>
      <c r="W293" s="241"/>
      <c r="X293" s="241"/>
    </row>
    <row r="294" spans="1:24" x14ac:dyDescent="0.15">
      <c r="A294" s="247"/>
      <c r="B294" s="247"/>
      <c r="C294" s="182"/>
      <c r="D294" s="182"/>
      <c r="E294" s="182"/>
      <c r="F294" s="182"/>
      <c r="G294" s="247"/>
      <c r="H294" s="247"/>
      <c r="I294" s="247"/>
      <c r="J294" s="248"/>
      <c r="K294" s="244"/>
      <c r="L294" s="245"/>
      <c r="M294" s="247"/>
      <c r="N294" s="247" t="s">
        <v>1105</v>
      </c>
      <c r="O294" s="247"/>
      <c r="P294" s="247"/>
      <c r="Q294" s="247"/>
      <c r="R294" s="247"/>
      <c r="S294" s="247"/>
      <c r="T294" s="279"/>
      <c r="U294" s="280"/>
      <c r="V294" s="244"/>
      <c r="W294" s="241"/>
      <c r="X294" s="241"/>
    </row>
    <row r="295" spans="1:24" x14ac:dyDescent="0.15">
      <c r="A295" s="247"/>
      <c r="B295" s="247"/>
      <c r="C295" s="182"/>
      <c r="D295" s="182" t="s">
        <v>1106</v>
      </c>
      <c r="E295" s="182" t="s">
        <v>818</v>
      </c>
      <c r="F295" s="251" t="s">
        <v>1107</v>
      </c>
      <c r="G295" s="247"/>
      <c r="H295" s="247"/>
      <c r="I295" s="182" t="s">
        <v>818</v>
      </c>
      <c r="J295" s="248">
        <f>J296</f>
        <v>0.96438387740893572</v>
      </c>
      <c r="K295" s="244" t="s">
        <v>846</v>
      </c>
      <c r="L295" s="245"/>
      <c r="M295" s="247"/>
      <c r="N295" s="279"/>
      <c r="O295" s="279"/>
      <c r="P295" s="279"/>
      <c r="Q295" s="279"/>
      <c r="R295" s="182"/>
      <c r="S295" s="182"/>
      <c r="T295" s="279"/>
      <c r="U295" s="280"/>
      <c r="V295" s="244"/>
      <c r="W295" s="241"/>
      <c r="X295" s="241"/>
    </row>
    <row r="296" spans="1:24" ht="14.25" x14ac:dyDescent="0.15">
      <c r="A296" s="247"/>
      <c r="B296" s="247"/>
      <c r="C296" s="182"/>
      <c r="D296" s="182" t="s">
        <v>1107</v>
      </c>
      <c r="E296" s="182" t="s">
        <v>818</v>
      </c>
      <c r="F296" s="251" t="s">
        <v>1031</v>
      </c>
      <c r="G296" s="247"/>
      <c r="H296" s="247"/>
      <c r="I296" s="182" t="s">
        <v>818</v>
      </c>
      <c r="J296" s="248">
        <f>J258</f>
        <v>0.96438387740893572</v>
      </c>
      <c r="K296" s="244" t="s">
        <v>842</v>
      </c>
      <c r="L296" s="245"/>
      <c r="M296" s="247"/>
      <c r="N296" s="279"/>
      <c r="O296" s="182" t="s">
        <v>1108</v>
      </c>
      <c r="P296" s="247"/>
      <c r="Q296" s="247"/>
      <c r="R296" s="182"/>
      <c r="S296" s="182"/>
      <c r="T296" s="279"/>
      <c r="U296" s="280"/>
      <c r="V296" s="244"/>
      <c r="W296" s="241"/>
      <c r="X296" s="241"/>
    </row>
    <row r="297" spans="1:24" x14ac:dyDescent="0.15">
      <c r="L297" s="245"/>
      <c r="M297" s="247"/>
      <c r="N297" s="279"/>
      <c r="O297" s="247"/>
      <c r="P297" s="247"/>
      <c r="Q297" s="247"/>
      <c r="R297" s="182"/>
      <c r="S297" s="182"/>
      <c r="T297" s="279"/>
      <c r="U297" s="280"/>
      <c r="V297" s="244"/>
      <c r="W297" s="241"/>
      <c r="X297" s="241"/>
    </row>
    <row r="298" spans="1:24" x14ac:dyDescent="0.15">
      <c r="A298" s="247" t="s">
        <v>1109</v>
      </c>
      <c r="B298" s="247"/>
      <c r="C298" s="182"/>
      <c r="D298" s="182"/>
      <c r="E298" s="182"/>
      <c r="F298" s="182"/>
      <c r="G298" s="247"/>
      <c r="H298" s="247"/>
      <c r="I298" s="247"/>
      <c r="J298" s="274"/>
      <c r="K298" s="244"/>
      <c r="L298" s="245"/>
      <c r="M298" s="247"/>
      <c r="N298" s="245"/>
      <c r="O298" s="251" t="s">
        <v>1024</v>
      </c>
      <c r="P298" s="245"/>
      <c r="Q298" s="182" t="s">
        <v>1067</v>
      </c>
      <c r="R298" s="182" t="s">
        <v>818</v>
      </c>
      <c r="S298" s="251" t="s">
        <v>1050</v>
      </c>
      <c r="T298" s="279"/>
      <c r="U298" s="280">
        <f>((G31-J208)*J55+(J208-1)*((J69-J176)/J197))/(1-J208)</f>
        <v>0.76483247683447297</v>
      </c>
      <c r="V298" s="244"/>
      <c r="W298" s="241"/>
      <c r="X298" s="241"/>
    </row>
    <row r="299" spans="1:24" x14ac:dyDescent="0.15">
      <c r="A299" s="247"/>
      <c r="B299" s="247"/>
      <c r="C299" s="182"/>
      <c r="D299" s="182"/>
      <c r="E299" s="182"/>
      <c r="F299" s="182"/>
      <c r="G299" s="247"/>
      <c r="H299" s="247"/>
      <c r="I299" s="247"/>
      <c r="J299" s="274"/>
      <c r="K299" s="244"/>
      <c r="L299" s="245"/>
      <c r="M299" s="247"/>
      <c r="N299" s="245"/>
      <c r="O299" s="251" t="s">
        <v>1026</v>
      </c>
      <c r="P299" s="245"/>
      <c r="Q299" s="182" t="s">
        <v>1070</v>
      </c>
      <c r="R299" s="182" t="s">
        <v>818</v>
      </c>
      <c r="S299" s="298" t="s">
        <v>1056</v>
      </c>
      <c r="T299" s="279"/>
      <c r="U299" s="280">
        <v>0</v>
      </c>
      <c r="V299" s="244"/>
      <c r="W299" s="241"/>
      <c r="X299" s="241"/>
    </row>
    <row r="300" spans="1:24" x14ac:dyDescent="0.15">
      <c r="A300" s="247"/>
      <c r="B300" s="247" t="s">
        <v>829</v>
      </c>
      <c r="C300" s="182"/>
      <c r="D300" s="182" t="s">
        <v>1110</v>
      </c>
      <c r="E300" s="182" t="s">
        <v>818</v>
      </c>
      <c r="F300" s="251" t="s">
        <v>1111</v>
      </c>
      <c r="G300" s="245"/>
      <c r="H300" s="226"/>
      <c r="I300" s="182" t="s">
        <v>818</v>
      </c>
      <c r="J300" s="268">
        <f>J262+J273</f>
        <v>0.31608774840987064</v>
      </c>
      <c r="K300" s="244" t="s">
        <v>846</v>
      </c>
      <c r="L300" s="245"/>
      <c r="O300" s="251" t="s">
        <v>1028</v>
      </c>
      <c r="P300" s="245"/>
      <c r="Q300" s="182" t="s">
        <v>1071</v>
      </c>
      <c r="R300" s="182" t="s">
        <v>818</v>
      </c>
      <c r="S300" s="298" t="s">
        <v>1056</v>
      </c>
      <c r="T300" s="279"/>
      <c r="U300" s="280">
        <v>0</v>
      </c>
      <c r="X300" s="241"/>
    </row>
    <row r="301" spans="1:24" x14ac:dyDescent="0.15">
      <c r="A301" s="247"/>
      <c r="B301" s="247"/>
      <c r="C301" s="182"/>
      <c r="D301" s="182" t="s">
        <v>1112</v>
      </c>
      <c r="E301" s="182" t="s">
        <v>818</v>
      </c>
      <c r="F301" s="251" t="s">
        <v>1113</v>
      </c>
      <c r="G301" s="245"/>
      <c r="H301" s="226"/>
      <c r="I301" s="182" t="s">
        <v>818</v>
      </c>
      <c r="J301" s="268">
        <f>J263+J274</f>
        <v>0.11706953644810024</v>
      </c>
      <c r="K301" s="244" t="s">
        <v>1093</v>
      </c>
      <c r="L301" s="245"/>
      <c r="M301" s="247"/>
      <c r="N301" s="245"/>
      <c r="O301" s="251" t="s">
        <v>1030</v>
      </c>
      <c r="P301" s="245"/>
      <c r="Q301" s="182" t="s">
        <v>1072</v>
      </c>
      <c r="R301" s="182" t="s">
        <v>818</v>
      </c>
      <c r="S301" s="251" t="s">
        <v>1114</v>
      </c>
      <c r="T301" s="279"/>
      <c r="U301" s="280">
        <f>U298+((J69-J176)/J197)</f>
        <v>0.59529868975860234</v>
      </c>
      <c r="V301" s="244"/>
      <c r="W301" s="241"/>
      <c r="X301" s="241"/>
    </row>
    <row r="302" spans="1:24" x14ac:dyDescent="0.15">
      <c r="A302" s="247"/>
      <c r="B302" s="247"/>
      <c r="C302" s="182"/>
      <c r="D302" s="182"/>
      <c r="E302" s="182"/>
      <c r="F302" s="251"/>
      <c r="G302" s="245"/>
      <c r="H302" s="226"/>
      <c r="I302" s="182"/>
      <c r="J302" s="268"/>
      <c r="K302" s="244"/>
      <c r="L302" s="245"/>
      <c r="M302" s="247"/>
      <c r="N302" s="245"/>
      <c r="V302" s="244"/>
      <c r="W302" s="241"/>
      <c r="X302" s="241"/>
    </row>
    <row r="303" spans="1:24" x14ac:dyDescent="0.15">
      <c r="A303" s="247"/>
      <c r="B303" s="247" t="s">
        <v>834</v>
      </c>
      <c r="C303" s="182"/>
      <c r="D303" s="182" t="s">
        <v>1115</v>
      </c>
      <c r="E303" s="182" t="s">
        <v>818</v>
      </c>
      <c r="F303" s="251" t="s">
        <v>1116</v>
      </c>
      <c r="G303" s="245"/>
      <c r="H303" s="226"/>
      <c r="I303" s="182" t="s">
        <v>818</v>
      </c>
      <c r="J303" s="268">
        <f>J265+J276</f>
        <v>1.1219590760237459</v>
      </c>
      <c r="K303" s="244" t="s">
        <v>846</v>
      </c>
      <c r="L303" s="245"/>
      <c r="M303" s="247" t="s">
        <v>1117</v>
      </c>
      <c r="N303" s="245"/>
      <c r="O303" s="247"/>
      <c r="P303" s="247"/>
      <c r="Q303" s="247"/>
      <c r="R303" s="182"/>
      <c r="S303" s="182"/>
      <c r="T303" s="279"/>
      <c r="U303" s="280"/>
      <c r="V303" s="244"/>
      <c r="W303" s="241"/>
      <c r="X303" s="241"/>
    </row>
    <row r="304" spans="1:24" x14ac:dyDescent="0.15">
      <c r="A304" s="247"/>
      <c r="B304" s="247"/>
      <c r="C304" s="182"/>
      <c r="D304" s="182" t="s">
        <v>1118</v>
      </c>
      <c r="E304" s="182" t="s">
        <v>818</v>
      </c>
      <c r="F304" s="251" t="s">
        <v>1119</v>
      </c>
      <c r="G304" s="245"/>
      <c r="H304" s="226"/>
      <c r="I304" s="182" t="s">
        <v>818</v>
      </c>
      <c r="J304" s="268">
        <f>J266+J277</f>
        <v>1.1219590760237459</v>
      </c>
      <c r="K304" s="244" t="s">
        <v>1093</v>
      </c>
      <c r="L304" s="245"/>
      <c r="M304" s="247" t="s">
        <v>1120</v>
      </c>
      <c r="N304" s="247"/>
      <c r="O304" s="247"/>
      <c r="P304" s="247"/>
      <c r="Q304" s="247"/>
      <c r="R304" s="182"/>
      <c r="S304" s="182"/>
      <c r="T304" s="279"/>
      <c r="U304" s="280"/>
      <c r="V304" s="244"/>
      <c r="W304" s="241"/>
      <c r="X304" s="241"/>
    </row>
    <row r="305" spans="1:23" x14ac:dyDescent="0.15">
      <c r="A305" s="247"/>
      <c r="B305" s="270"/>
      <c r="C305" s="271"/>
      <c r="D305" s="271"/>
      <c r="E305" s="271"/>
      <c r="F305" s="271"/>
      <c r="G305" s="270"/>
      <c r="H305" s="270"/>
      <c r="I305" s="270"/>
      <c r="J305" s="275"/>
      <c r="K305" s="273"/>
      <c r="L305" s="245"/>
      <c r="M305" s="247"/>
      <c r="N305" s="247"/>
      <c r="O305" s="247"/>
      <c r="P305" s="247"/>
      <c r="Q305" s="247"/>
      <c r="R305" s="182"/>
      <c r="S305" s="182"/>
      <c r="T305" s="279"/>
      <c r="U305" s="280"/>
      <c r="V305" s="244"/>
      <c r="W305" s="241"/>
    </row>
    <row r="306" spans="1:23" x14ac:dyDescent="0.15">
      <c r="A306" s="247"/>
      <c r="B306" s="247"/>
      <c r="C306" s="182"/>
      <c r="D306" s="182" t="s">
        <v>1121</v>
      </c>
      <c r="E306" s="470" t="s">
        <v>818</v>
      </c>
      <c r="F306" s="226" t="s">
        <v>1122</v>
      </c>
      <c r="G306" s="245"/>
      <c r="H306" s="226"/>
      <c r="I306" s="182" t="s">
        <v>818</v>
      </c>
      <c r="J306" s="268">
        <f>J300+J303</f>
        <v>1.4380468244336164</v>
      </c>
      <c r="K306" s="244" t="s">
        <v>846</v>
      </c>
      <c r="L306" s="245"/>
      <c r="M306" s="247" t="s">
        <v>1123</v>
      </c>
      <c r="N306" s="279"/>
      <c r="O306" s="279"/>
      <c r="P306" s="279"/>
      <c r="Q306" s="279"/>
      <c r="R306" s="182"/>
      <c r="S306" s="182"/>
      <c r="T306" s="279"/>
      <c r="U306" s="280"/>
      <c r="V306" s="244"/>
      <c r="W306" s="241"/>
    </row>
    <row r="307" spans="1:23" ht="14.25" x14ac:dyDescent="0.15">
      <c r="A307" s="247"/>
      <c r="B307" s="247"/>
      <c r="C307" s="182"/>
      <c r="D307" s="182" t="s">
        <v>1124</v>
      </c>
      <c r="E307" s="470" t="s">
        <v>818</v>
      </c>
      <c r="F307" s="226" t="s">
        <v>1125</v>
      </c>
      <c r="G307" s="245"/>
      <c r="H307" s="226"/>
      <c r="I307" s="182" t="s">
        <v>818</v>
      </c>
      <c r="J307" s="268">
        <f>J301+J304</f>
        <v>1.2390286124718461</v>
      </c>
      <c r="K307" s="244" t="s">
        <v>842</v>
      </c>
      <c r="L307" s="245"/>
      <c r="M307" s="247" t="s">
        <v>1126</v>
      </c>
      <c r="N307" s="279"/>
      <c r="O307" s="279"/>
      <c r="P307" s="279"/>
      <c r="Q307" s="279"/>
      <c r="R307" s="182"/>
      <c r="S307" s="182"/>
      <c r="T307" s="279"/>
      <c r="U307" s="280"/>
      <c r="V307" s="244"/>
      <c r="W307" s="241"/>
    </row>
    <row r="308" spans="1:23" x14ac:dyDescent="0.15">
      <c r="A308" s="247"/>
      <c r="B308" s="247"/>
      <c r="C308" s="182"/>
      <c r="D308" s="182"/>
      <c r="E308" s="182"/>
      <c r="F308" s="182"/>
      <c r="G308" s="247"/>
      <c r="H308" s="247"/>
      <c r="I308" s="247"/>
      <c r="J308" s="274"/>
      <c r="K308" s="244"/>
      <c r="L308" s="245"/>
      <c r="M308" s="247"/>
      <c r="N308" s="279"/>
      <c r="O308" s="279"/>
      <c r="P308" s="279"/>
      <c r="Q308" s="279"/>
      <c r="R308" s="182"/>
      <c r="S308" s="182"/>
      <c r="T308" s="279"/>
      <c r="U308" s="280"/>
      <c r="V308" s="244"/>
      <c r="W308" s="241"/>
    </row>
    <row r="309" spans="1:23" x14ac:dyDescent="0.15">
      <c r="A309" s="247" t="s">
        <v>1127</v>
      </c>
      <c r="B309" s="247"/>
      <c r="C309" s="182"/>
      <c r="D309" s="182"/>
      <c r="E309" s="182"/>
      <c r="F309" s="182"/>
      <c r="G309" s="251"/>
      <c r="H309" s="247"/>
      <c r="I309" s="247"/>
      <c r="J309" s="248"/>
      <c r="K309" s="244"/>
      <c r="L309" s="245"/>
      <c r="M309" s="247" t="s">
        <v>1128</v>
      </c>
      <c r="N309" s="279"/>
      <c r="O309" s="279"/>
      <c r="P309" s="279"/>
      <c r="Q309" s="279"/>
      <c r="R309" s="182"/>
      <c r="S309" s="182"/>
      <c r="T309" s="279"/>
      <c r="U309" s="280"/>
      <c r="V309" s="244"/>
      <c r="W309" s="241"/>
    </row>
    <row r="310" spans="1:23" x14ac:dyDescent="0.15">
      <c r="A310" s="278"/>
      <c r="B310" s="247"/>
      <c r="C310" s="182"/>
      <c r="D310" s="182"/>
      <c r="E310" s="182"/>
      <c r="F310" s="182"/>
      <c r="G310" s="251"/>
      <c r="H310" s="247"/>
      <c r="I310" s="247"/>
      <c r="J310" s="248"/>
      <c r="K310" s="244"/>
      <c r="L310" s="245"/>
      <c r="M310" s="247"/>
      <c r="N310" s="279"/>
      <c r="O310" s="279"/>
      <c r="P310" s="279"/>
      <c r="Q310" s="279"/>
      <c r="R310" s="182"/>
      <c r="S310" s="182"/>
      <c r="T310" s="279"/>
      <c r="U310" s="280"/>
      <c r="V310" s="244"/>
      <c r="W310" s="241"/>
    </row>
    <row r="311" spans="1:23" x14ac:dyDescent="0.15">
      <c r="A311" s="226"/>
      <c r="B311" s="247" t="s">
        <v>834</v>
      </c>
      <c r="C311" s="245"/>
      <c r="D311" s="182" t="s">
        <v>1129</v>
      </c>
      <c r="E311" s="470" t="s">
        <v>818</v>
      </c>
      <c r="F311" s="226" t="s">
        <v>1130</v>
      </c>
      <c r="G311" s="226"/>
      <c r="H311" s="226"/>
      <c r="I311" s="182" t="s">
        <v>818</v>
      </c>
      <c r="J311" s="248">
        <f>J290+J295</f>
        <v>0.96438387740893572</v>
      </c>
      <c r="K311" s="244" t="s">
        <v>1131</v>
      </c>
      <c r="L311" s="245"/>
      <c r="M311" s="247" t="s">
        <v>1132</v>
      </c>
      <c r="N311" s="279"/>
      <c r="O311" s="279"/>
      <c r="P311" s="279"/>
      <c r="Q311" s="279"/>
      <c r="R311" s="182"/>
      <c r="S311" s="182"/>
      <c r="T311" s="279"/>
      <c r="U311" s="280"/>
      <c r="V311" s="244"/>
      <c r="W311" s="241"/>
    </row>
    <row r="312" spans="1:23" ht="14.25" x14ac:dyDescent="0.15">
      <c r="A312" s="247"/>
      <c r="B312" s="247"/>
      <c r="C312" s="182"/>
      <c r="D312" s="470" t="s">
        <v>1133</v>
      </c>
      <c r="E312" s="470" t="s">
        <v>818</v>
      </c>
      <c r="F312" s="226" t="s">
        <v>1129</v>
      </c>
      <c r="G312" s="226"/>
      <c r="H312" s="226"/>
      <c r="I312" s="182" t="s">
        <v>818</v>
      </c>
      <c r="J312" s="248">
        <f>J311</f>
        <v>0.96438387740893572</v>
      </c>
      <c r="K312" s="244" t="s">
        <v>842</v>
      </c>
      <c r="L312" s="245"/>
      <c r="M312" s="247"/>
      <c r="N312" s="279"/>
      <c r="O312" s="279"/>
      <c r="P312" s="279"/>
      <c r="Q312" s="279"/>
      <c r="R312" s="182"/>
      <c r="S312" s="182"/>
      <c r="T312" s="279"/>
      <c r="U312" s="280"/>
      <c r="V312" s="244"/>
      <c r="W312" s="241"/>
    </row>
    <row r="313" spans="1:23" x14ac:dyDescent="0.15">
      <c r="L313" s="245"/>
      <c r="M313" s="247"/>
      <c r="N313" s="247" t="s">
        <v>1134</v>
      </c>
      <c r="O313" s="247"/>
      <c r="P313" s="247"/>
      <c r="Q313" s="247"/>
      <c r="R313" s="182"/>
      <c r="S313" s="182"/>
      <c r="T313" s="279"/>
      <c r="U313" s="280"/>
      <c r="V313" s="244"/>
      <c r="W313" s="241"/>
    </row>
    <row r="314" spans="1:23" x14ac:dyDescent="0.15">
      <c r="A314" s="247" t="s">
        <v>1135</v>
      </c>
      <c r="B314" s="247"/>
      <c r="C314" s="182"/>
      <c r="D314" s="182"/>
      <c r="E314" s="182"/>
      <c r="F314" s="182"/>
      <c r="G314" s="247"/>
      <c r="H314" s="247"/>
      <c r="I314" s="247"/>
      <c r="J314" s="274"/>
      <c r="K314" s="244"/>
      <c r="L314" s="245"/>
      <c r="M314" s="247"/>
      <c r="N314" s="279"/>
      <c r="O314" s="279"/>
      <c r="P314" s="279"/>
      <c r="Q314" s="279"/>
      <c r="R314" s="182"/>
      <c r="S314" s="182"/>
      <c r="T314" s="279"/>
      <c r="U314" s="280"/>
      <c r="V314" s="244"/>
      <c r="W314" s="241"/>
    </row>
    <row r="315" spans="1:23" x14ac:dyDescent="0.15">
      <c r="A315" s="247"/>
      <c r="B315" s="247"/>
      <c r="C315" s="182"/>
      <c r="D315" s="182"/>
      <c r="E315" s="182"/>
      <c r="F315" s="182"/>
      <c r="G315" s="247"/>
      <c r="H315" s="247"/>
      <c r="I315" s="247"/>
      <c r="J315" s="274"/>
      <c r="K315" s="244"/>
      <c r="L315" s="245"/>
      <c r="M315" s="247"/>
      <c r="N315" s="247" t="s">
        <v>1136</v>
      </c>
      <c r="O315" s="279"/>
      <c r="P315" s="279"/>
      <c r="Q315" s="279"/>
      <c r="R315" s="182"/>
      <c r="S315" s="182"/>
      <c r="T315" s="279"/>
      <c r="U315" s="280"/>
      <c r="V315" s="244"/>
      <c r="W315" s="241"/>
    </row>
    <row r="316" spans="1:23" x14ac:dyDescent="0.15">
      <c r="A316" s="226"/>
      <c r="B316" s="247" t="s">
        <v>1137</v>
      </c>
      <c r="C316" s="182"/>
      <c r="D316" s="182"/>
      <c r="E316" s="182"/>
      <c r="F316" s="182"/>
      <c r="G316" s="247"/>
      <c r="H316" s="247"/>
      <c r="I316" s="247"/>
      <c r="J316" s="248"/>
      <c r="K316" s="244"/>
      <c r="L316" s="245"/>
      <c r="M316" s="247"/>
      <c r="N316" s="279"/>
      <c r="O316" s="279"/>
      <c r="P316" s="279"/>
      <c r="Q316" s="279"/>
      <c r="R316" s="182"/>
      <c r="S316" s="182"/>
      <c r="T316" s="279"/>
      <c r="U316" s="280"/>
      <c r="V316" s="244"/>
      <c r="W316" s="241"/>
    </row>
    <row r="317" spans="1:23" x14ac:dyDescent="0.15">
      <c r="A317" s="247"/>
      <c r="B317" s="247"/>
      <c r="C317" s="182"/>
      <c r="D317" s="182"/>
      <c r="E317" s="182"/>
      <c r="F317" s="182"/>
      <c r="G317" s="247"/>
      <c r="H317" s="247"/>
      <c r="I317" s="247"/>
      <c r="J317" s="248"/>
      <c r="K317" s="244"/>
      <c r="L317" s="245"/>
      <c r="M317" s="247"/>
      <c r="N317" s="279"/>
      <c r="O317" s="182" t="s">
        <v>1138</v>
      </c>
      <c r="P317" s="247"/>
      <c r="Q317" s="247"/>
      <c r="R317" s="182"/>
      <c r="S317" s="182"/>
      <c r="T317" s="279"/>
      <c r="U317" s="280"/>
      <c r="V317" s="244"/>
      <c r="W317" s="241"/>
    </row>
    <row r="318" spans="1:23" x14ac:dyDescent="0.15">
      <c r="A318" s="247"/>
      <c r="B318" s="247"/>
      <c r="C318" s="286" t="s">
        <v>1139</v>
      </c>
      <c r="D318" s="286"/>
      <c r="E318" s="301" t="s">
        <v>1140</v>
      </c>
      <c r="F318" s="301" t="s">
        <v>1141</v>
      </c>
      <c r="G318" s="301" t="s">
        <v>1142</v>
      </c>
      <c r="H318" s="301" t="s">
        <v>1143</v>
      </c>
      <c r="I318" s="247"/>
      <c r="J318" s="248"/>
      <c r="K318" s="244"/>
      <c r="L318" s="245"/>
      <c r="M318" s="247"/>
      <c r="N318" s="279"/>
      <c r="O318" s="247"/>
      <c r="P318" s="247"/>
      <c r="Q318" s="247"/>
      <c r="R318" s="182"/>
      <c r="S318" s="182"/>
      <c r="T318" s="279"/>
      <c r="U318" s="280"/>
      <c r="V318" s="244"/>
      <c r="W318" s="241"/>
    </row>
    <row r="319" spans="1:23" x14ac:dyDescent="0.15">
      <c r="A319" s="247"/>
      <c r="B319" s="247"/>
      <c r="C319" s="286" t="s">
        <v>1144</v>
      </c>
      <c r="D319" s="286"/>
      <c r="E319" s="290">
        <v>0.5</v>
      </c>
      <c r="F319" s="302" t="s">
        <v>1145</v>
      </c>
      <c r="G319" s="290">
        <v>1.5</v>
      </c>
      <c r="H319" s="302" t="s">
        <v>1146</v>
      </c>
      <c r="I319" s="247"/>
      <c r="J319" s="267"/>
      <c r="K319" s="244"/>
      <c r="L319" s="245"/>
      <c r="M319" s="247"/>
      <c r="N319" s="245"/>
      <c r="O319" s="251" t="s">
        <v>1024</v>
      </c>
      <c r="P319" s="245"/>
      <c r="Q319" s="182" t="s">
        <v>1067</v>
      </c>
      <c r="R319" s="182" t="s">
        <v>818</v>
      </c>
      <c r="S319" s="298" t="s">
        <v>1056</v>
      </c>
      <c r="T319" s="279"/>
      <c r="U319" s="280">
        <v>0</v>
      </c>
      <c r="V319" s="244"/>
      <c r="W319" s="241"/>
    </row>
    <row r="320" spans="1:23" x14ac:dyDescent="0.15">
      <c r="A320" s="247"/>
      <c r="B320" s="247"/>
      <c r="C320" s="182"/>
      <c r="D320" s="182"/>
      <c r="E320" s="182"/>
      <c r="F320" s="182"/>
      <c r="G320" s="247"/>
      <c r="H320" s="247"/>
      <c r="I320" s="247"/>
      <c r="J320" s="248"/>
      <c r="K320" s="244"/>
      <c r="L320" s="245"/>
      <c r="M320" s="247"/>
      <c r="N320" s="245"/>
      <c r="O320" s="251" t="s">
        <v>1026</v>
      </c>
      <c r="P320" s="245"/>
      <c r="Q320" s="182" t="s">
        <v>1070</v>
      </c>
      <c r="R320" s="182" t="s">
        <v>818</v>
      </c>
      <c r="S320" s="298" t="s">
        <v>1056</v>
      </c>
      <c r="T320" s="279"/>
      <c r="U320" s="280">
        <v>0</v>
      </c>
      <c r="V320" s="244"/>
      <c r="W320" s="241"/>
    </row>
    <row r="321" spans="1:23" x14ac:dyDescent="0.15">
      <c r="A321" s="226"/>
      <c r="B321" s="279" t="s">
        <v>1139</v>
      </c>
      <c r="C321" s="303"/>
      <c r="D321" s="182" t="s">
        <v>818</v>
      </c>
      <c r="E321" s="247" t="s">
        <v>1147</v>
      </c>
      <c r="F321" s="182"/>
      <c r="G321" s="245"/>
      <c r="H321" s="247"/>
      <c r="I321" s="182" t="s">
        <v>818</v>
      </c>
      <c r="J321" s="304">
        <f>J103/J94*100</f>
        <v>30</v>
      </c>
      <c r="K321" s="244" t="s">
        <v>855</v>
      </c>
      <c r="L321" s="245"/>
      <c r="M321" s="247"/>
      <c r="N321" s="245"/>
      <c r="O321" s="251" t="s">
        <v>1028</v>
      </c>
      <c r="P321" s="245"/>
      <c r="Q321" s="182" t="s">
        <v>1071</v>
      </c>
      <c r="R321" s="182" t="s">
        <v>818</v>
      </c>
      <c r="S321" s="251" t="s">
        <v>1148</v>
      </c>
      <c r="T321" s="279"/>
      <c r="U321" s="280">
        <f>((G31-J208)*J55+(J208-1)*((J69-J176)/J197))/(J226-1)</f>
        <v>-0.26738104003578445</v>
      </c>
      <c r="V321" s="244"/>
      <c r="W321" s="241"/>
    </row>
    <row r="322" spans="1:23" x14ac:dyDescent="0.15">
      <c r="A322" s="226"/>
      <c r="B322" s="279" t="s">
        <v>1149</v>
      </c>
      <c r="C322" s="303"/>
      <c r="D322" s="470" t="s">
        <v>818</v>
      </c>
      <c r="E322" s="251" t="s">
        <v>1150</v>
      </c>
      <c r="F322" s="226"/>
      <c r="G322" s="245"/>
      <c r="H322" s="226"/>
      <c r="I322" s="182" t="s">
        <v>818</v>
      </c>
      <c r="J322" s="305">
        <f>IF(J321&lt;51,0.5,IF(J321&lt;61,1,IF(J321&lt;81,1.5,2)))</f>
        <v>0.5</v>
      </c>
      <c r="K322" s="244"/>
      <c r="L322" s="245"/>
      <c r="M322" s="247"/>
      <c r="N322" s="245"/>
      <c r="O322" s="251" t="s">
        <v>1030</v>
      </c>
      <c r="P322" s="245"/>
      <c r="Q322" s="182" t="s">
        <v>1072</v>
      </c>
      <c r="R322" s="182" t="s">
        <v>818</v>
      </c>
      <c r="S322" s="251" t="s">
        <v>1151</v>
      </c>
      <c r="T322" s="279"/>
      <c r="U322" s="280">
        <f>((J69-J176)/J197)-U321</f>
        <v>9.7847252959913811E-2</v>
      </c>
      <c r="V322" s="244"/>
      <c r="W322" s="241"/>
    </row>
    <row r="323" spans="1:23" x14ac:dyDescent="0.15">
      <c r="A323" s="226"/>
      <c r="B323" s="279" t="s">
        <v>1152</v>
      </c>
      <c r="C323" s="303"/>
      <c r="D323" s="470" t="s">
        <v>818</v>
      </c>
      <c r="E323" s="251" t="s">
        <v>1153</v>
      </c>
      <c r="F323" s="226"/>
      <c r="G323" s="245"/>
      <c r="H323" s="226"/>
      <c r="I323" s="182" t="s">
        <v>818</v>
      </c>
      <c r="J323" s="306">
        <f>(J55*J322*J159)/(J62+J97)</f>
        <v>5.3582912066426722E-2</v>
      </c>
      <c r="K323" s="253" t="s">
        <v>1154</v>
      </c>
      <c r="L323" s="245"/>
      <c r="M323" s="247"/>
      <c r="N323" s="279"/>
      <c r="O323" s="279"/>
      <c r="P323" s="279"/>
      <c r="Q323" s="279"/>
      <c r="R323" s="182"/>
      <c r="S323" s="182"/>
      <c r="T323" s="279"/>
      <c r="U323" s="280"/>
      <c r="V323" s="244"/>
      <c r="W323" s="241"/>
    </row>
    <row r="324" spans="1:23" x14ac:dyDescent="0.15">
      <c r="L324" s="245"/>
      <c r="M324" s="247"/>
      <c r="N324" s="247" t="s">
        <v>1155</v>
      </c>
      <c r="O324" s="245"/>
      <c r="P324" s="247"/>
      <c r="Q324" s="247"/>
      <c r="R324" s="182"/>
      <c r="S324" s="182"/>
      <c r="T324" s="279"/>
      <c r="U324" s="280"/>
      <c r="V324" s="244"/>
      <c r="W324" s="241"/>
    </row>
    <row r="325" spans="1:23" ht="14.25" x14ac:dyDescent="0.15">
      <c r="A325" s="246" t="s">
        <v>1156</v>
      </c>
      <c r="B325" s="245"/>
      <c r="C325" s="226"/>
      <c r="D325" s="241"/>
      <c r="E325" s="241"/>
      <c r="F325" s="241"/>
      <c r="G325" s="241"/>
      <c r="H325" s="245"/>
      <c r="I325" s="245"/>
      <c r="J325" s="245"/>
      <c r="K325" s="245"/>
      <c r="L325" s="245"/>
      <c r="M325" s="247"/>
      <c r="N325" s="279"/>
      <c r="O325" s="279"/>
      <c r="P325" s="279"/>
      <c r="Q325" s="279"/>
      <c r="R325" s="182"/>
      <c r="S325" s="182"/>
      <c r="T325" s="279"/>
      <c r="U325" s="280"/>
      <c r="V325" s="244"/>
      <c r="W325" s="241"/>
    </row>
    <row r="326" spans="1:23" x14ac:dyDescent="0.15">
      <c r="A326" s="242"/>
      <c r="B326" s="245"/>
      <c r="C326" s="241"/>
      <c r="D326" s="241"/>
      <c r="E326" s="241"/>
      <c r="F326" s="241"/>
      <c r="G326" s="241"/>
      <c r="H326" s="245"/>
      <c r="I326" s="245"/>
      <c r="J326" s="245"/>
      <c r="K326" s="245"/>
      <c r="L326" s="245"/>
      <c r="M326" s="247" t="s">
        <v>1157</v>
      </c>
      <c r="N326" s="279"/>
      <c r="O326" s="279"/>
      <c r="P326" s="279"/>
      <c r="Q326" s="279"/>
      <c r="R326" s="182"/>
      <c r="S326" s="182"/>
      <c r="T326" s="279"/>
      <c r="U326" s="280"/>
      <c r="V326" s="244"/>
      <c r="W326" s="241"/>
    </row>
    <row r="327" spans="1:23" x14ac:dyDescent="0.15">
      <c r="A327" s="247" t="s">
        <v>1158</v>
      </c>
      <c r="B327" s="307"/>
      <c r="C327" s="303"/>
      <c r="D327" s="241"/>
      <c r="E327" s="241"/>
      <c r="F327" s="241"/>
      <c r="G327" s="241"/>
      <c r="H327" s="245"/>
      <c r="I327" s="245"/>
      <c r="J327" s="245"/>
      <c r="K327" s="245"/>
      <c r="L327" s="245"/>
      <c r="M327" s="247"/>
      <c r="N327" s="279"/>
      <c r="O327" s="279"/>
      <c r="P327" s="279"/>
      <c r="Q327" s="279"/>
      <c r="R327" s="182"/>
      <c r="S327" s="182"/>
      <c r="T327" s="279"/>
      <c r="U327" s="280"/>
      <c r="V327" s="244"/>
      <c r="W327" s="241"/>
    </row>
    <row r="328" spans="1:23" x14ac:dyDescent="0.15">
      <c r="A328" s="182"/>
      <c r="B328" s="242"/>
      <c r="C328" s="241"/>
      <c r="D328" s="241"/>
      <c r="E328" s="241"/>
      <c r="F328" s="241"/>
      <c r="G328" s="241"/>
      <c r="H328" s="245"/>
      <c r="I328" s="245"/>
      <c r="J328" s="245"/>
      <c r="K328" s="245"/>
      <c r="L328" s="245"/>
      <c r="M328" s="247" t="s">
        <v>1101</v>
      </c>
      <c r="N328" s="279"/>
      <c r="O328" s="279"/>
      <c r="P328" s="279"/>
      <c r="Q328" s="279"/>
      <c r="R328" s="182"/>
      <c r="S328" s="182"/>
      <c r="T328" s="279"/>
      <c r="U328" s="280"/>
      <c r="V328" s="244"/>
      <c r="W328" s="241"/>
    </row>
    <row r="329" spans="1:23" x14ac:dyDescent="0.15">
      <c r="A329" s="182"/>
      <c r="B329" s="182"/>
      <c r="C329" s="308" t="s">
        <v>1159</v>
      </c>
      <c r="D329" s="309"/>
      <c r="E329" s="290" t="s">
        <v>794</v>
      </c>
      <c r="F329" s="310">
        <f>K329</f>
        <v>1.1499999999999999</v>
      </c>
      <c r="G329" s="241"/>
      <c r="H329" s="308" t="s">
        <v>1160</v>
      </c>
      <c r="I329" s="309"/>
      <c r="J329" s="290" t="s">
        <v>794</v>
      </c>
      <c r="K329" s="310">
        <f>G31</f>
        <v>1.1499999999999999</v>
      </c>
      <c r="L329" s="245"/>
      <c r="M329" s="247"/>
      <c r="N329" s="279"/>
      <c r="O329" s="279"/>
      <c r="P329" s="279"/>
      <c r="Q329" s="279"/>
      <c r="R329" s="182"/>
      <c r="S329" s="182"/>
      <c r="T329" s="279"/>
      <c r="U329" s="280"/>
      <c r="V329" s="244"/>
      <c r="W329" s="241"/>
    </row>
    <row r="330" spans="1:23" x14ac:dyDescent="0.15">
      <c r="A330" s="226"/>
      <c r="B330" s="182"/>
      <c r="C330" s="311"/>
      <c r="D330" s="290" t="s">
        <v>829</v>
      </c>
      <c r="E330" s="290" t="s">
        <v>834</v>
      </c>
      <c r="F330" s="290" t="s">
        <v>903</v>
      </c>
      <c r="G330" s="241"/>
      <c r="H330" s="311"/>
      <c r="I330" s="290" t="s">
        <v>829</v>
      </c>
      <c r="J330" s="290" t="s">
        <v>834</v>
      </c>
      <c r="K330" s="290" t="s">
        <v>903</v>
      </c>
      <c r="L330" s="245"/>
      <c r="M330" s="247"/>
      <c r="N330" s="247" t="s">
        <v>1161</v>
      </c>
      <c r="O330" s="247"/>
      <c r="P330" s="247"/>
      <c r="Q330" s="247"/>
      <c r="R330" s="182"/>
      <c r="S330" s="182"/>
      <c r="T330" s="279"/>
      <c r="U330" s="280"/>
      <c r="V330" s="244"/>
      <c r="W330" s="241"/>
    </row>
    <row r="331" spans="1:23" x14ac:dyDescent="0.15">
      <c r="A331" s="226"/>
      <c r="B331" s="182"/>
      <c r="C331" s="290" t="s">
        <v>1162</v>
      </c>
      <c r="D331" s="312">
        <f>J73</f>
        <v>3.4734705882352923</v>
      </c>
      <c r="E331" s="312">
        <f>J76</f>
        <v>13.293529411764704</v>
      </c>
      <c r="F331" s="312">
        <f>D331+E331</f>
        <v>16.766999999999996</v>
      </c>
      <c r="G331" s="241"/>
      <c r="H331" s="290" t="s">
        <v>1162</v>
      </c>
      <c r="I331" s="312">
        <f>J59</f>
        <v>2.1441176470588226</v>
      </c>
      <c r="J331" s="312">
        <f>J62</f>
        <v>8.2058823529411775</v>
      </c>
      <c r="K331" s="312">
        <f>I331+J331</f>
        <v>10.35</v>
      </c>
      <c r="L331" s="245"/>
      <c r="M331" s="247"/>
      <c r="N331" s="279"/>
      <c r="O331" s="279"/>
      <c r="P331" s="279"/>
      <c r="Q331" s="279"/>
      <c r="R331" s="182"/>
      <c r="S331" s="182"/>
      <c r="T331" s="279"/>
      <c r="U331" s="280"/>
      <c r="V331" s="244"/>
      <c r="W331" s="241"/>
    </row>
    <row r="332" spans="1:23" ht="15.75" x14ac:dyDescent="0.15">
      <c r="A332" s="226"/>
      <c r="B332" s="182"/>
      <c r="C332" s="290" t="s">
        <v>763</v>
      </c>
      <c r="D332" s="312">
        <f>J74</f>
        <v>1.2864705882352934</v>
      </c>
      <c r="E332" s="312">
        <f>J77</f>
        <v>13.293529411764704</v>
      </c>
      <c r="F332" s="312">
        <f>D332+E332</f>
        <v>14.579999999999997</v>
      </c>
      <c r="G332" s="245"/>
      <c r="H332" s="290" t="s">
        <v>763</v>
      </c>
      <c r="I332" s="312">
        <f>J60</f>
        <v>0.79411764705882315</v>
      </c>
      <c r="J332" s="312">
        <f>J63</f>
        <v>8.2058823529411775</v>
      </c>
      <c r="K332" s="312">
        <f>I332+J332</f>
        <v>9</v>
      </c>
      <c r="L332" s="245"/>
      <c r="M332" s="247"/>
      <c r="N332" s="247" t="s">
        <v>1163</v>
      </c>
      <c r="O332" s="279"/>
      <c r="P332" s="279"/>
      <c r="Q332" s="279"/>
      <c r="R332" s="182"/>
      <c r="S332" s="182"/>
      <c r="T332" s="279"/>
      <c r="U332" s="280"/>
      <c r="V332" s="244"/>
      <c r="W332" s="241"/>
    </row>
    <row r="333" spans="1:23" x14ac:dyDescent="0.15">
      <c r="A333" s="226"/>
      <c r="B333" s="182"/>
      <c r="C333" s="182"/>
      <c r="D333" s="248"/>
      <c r="E333" s="248"/>
      <c r="F333" s="248"/>
      <c r="G333" s="245"/>
      <c r="H333" s="182"/>
      <c r="I333" s="248"/>
      <c r="J333" s="248"/>
      <c r="K333" s="248"/>
      <c r="L333" s="245"/>
      <c r="M333" s="247"/>
      <c r="N333" s="279"/>
      <c r="O333" s="279"/>
      <c r="P333" s="279"/>
      <c r="Q333" s="279"/>
      <c r="R333" s="182"/>
      <c r="S333" s="182"/>
      <c r="T333" s="279"/>
      <c r="U333" s="280"/>
      <c r="V333" s="244"/>
      <c r="W333" s="241"/>
    </row>
    <row r="334" spans="1:23" x14ac:dyDescent="0.15">
      <c r="A334" s="226"/>
      <c r="B334" s="226"/>
      <c r="C334" s="241"/>
      <c r="D334" s="241"/>
      <c r="E334" s="241"/>
      <c r="F334" s="241"/>
      <c r="G334" s="241"/>
      <c r="H334" s="245"/>
      <c r="I334" s="245"/>
      <c r="J334" s="245"/>
      <c r="K334" s="245"/>
      <c r="L334" s="245"/>
      <c r="M334" s="247"/>
      <c r="N334" s="245"/>
      <c r="O334" s="251" t="s">
        <v>1024</v>
      </c>
      <c r="P334" s="245"/>
      <c r="Q334" s="182" t="s">
        <v>1067</v>
      </c>
      <c r="R334" s="182" t="s">
        <v>818</v>
      </c>
      <c r="S334" s="251" t="s">
        <v>1050</v>
      </c>
      <c r="T334" s="279"/>
      <c r="U334" s="280">
        <f>((G31-J208)*J55+(J208-J226)*((J69-J176)/J197))/(J226-J208)</f>
        <v>-0.15044032702847626</v>
      </c>
      <c r="V334" s="244"/>
      <c r="W334" s="241"/>
    </row>
    <row r="335" spans="1:23" x14ac:dyDescent="0.15">
      <c r="A335" s="226"/>
      <c r="B335" s="226"/>
      <c r="C335" s="241"/>
      <c r="D335" s="241"/>
      <c r="E335" s="241"/>
      <c r="F335" s="241"/>
      <c r="G335" s="241"/>
      <c r="H335" s="245"/>
      <c r="I335" s="245"/>
      <c r="J335" s="245"/>
      <c r="K335" s="245"/>
      <c r="L335" s="245"/>
      <c r="M335" s="247"/>
      <c r="N335" s="245"/>
      <c r="O335" s="251" t="s">
        <v>1026</v>
      </c>
      <c r="P335" s="245"/>
      <c r="Q335" s="182" t="s">
        <v>1070</v>
      </c>
      <c r="R335" s="182" t="s">
        <v>818</v>
      </c>
      <c r="S335" s="298" t="s">
        <v>1056</v>
      </c>
      <c r="T335" s="279"/>
      <c r="U335" s="280">
        <v>0</v>
      </c>
      <c r="V335" s="244"/>
      <c r="W335" s="241"/>
    </row>
    <row r="336" spans="1:23" x14ac:dyDescent="0.15">
      <c r="A336" s="226"/>
      <c r="B336" s="226"/>
      <c r="C336" s="245"/>
      <c r="D336" s="245"/>
      <c r="E336" s="245"/>
      <c r="F336" s="245"/>
      <c r="G336" s="241"/>
      <c r="H336" s="245"/>
      <c r="I336" s="245"/>
      <c r="J336" s="245"/>
      <c r="K336" s="245"/>
      <c r="L336" s="245"/>
      <c r="M336" s="247"/>
      <c r="N336" s="245"/>
      <c r="O336" s="251" t="s">
        <v>1028</v>
      </c>
      <c r="P336" s="245"/>
      <c r="Q336" s="182" t="s">
        <v>1071</v>
      </c>
      <c r="R336" s="182" t="s">
        <v>818</v>
      </c>
      <c r="S336" s="251" t="s">
        <v>1114</v>
      </c>
      <c r="T336" s="279"/>
      <c r="U336" s="280">
        <f>U334+((J69-J176)/J197)</f>
        <v>-0.3199741141043469</v>
      </c>
      <c r="V336" s="244"/>
      <c r="W336" s="241"/>
    </row>
    <row r="337" spans="1:24" x14ac:dyDescent="0.15">
      <c r="A337" s="226"/>
      <c r="B337" s="226"/>
      <c r="C337" s="313" t="s">
        <v>1164</v>
      </c>
      <c r="D337" s="314"/>
      <c r="E337" s="290" t="s">
        <v>796</v>
      </c>
      <c r="F337" s="310">
        <f>J135</f>
        <v>1.18006080431396</v>
      </c>
      <c r="G337" s="241"/>
      <c r="H337" s="313" t="s">
        <v>1165</v>
      </c>
      <c r="I337" s="314"/>
      <c r="J337" s="301" t="s">
        <v>1166</v>
      </c>
      <c r="K337" s="315">
        <f>G39</f>
        <v>30</v>
      </c>
      <c r="L337" s="245"/>
      <c r="M337" s="247"/>
      <c r="N337" s="245"/>
      <c r="O337" s="251" t="s">
        <v>1030</v>
      </c>
      <c r="P337" s="245"/>
      <c r="Q337" s="182" t="s">
        <v>1072</v>
      </c>
      <c r="R337" s="182" t="s">
        <v>818</v>
      </c>
      <c r="S337" s="298" t="s">
        <v>1056</v>
      </c>
      <c r="T337" s="279"/>
      <c r="U337" s="280">
        <v>0</v>
      </c>
      <c r="V337" s="244"/>
      <c r="W337" s="241"/>
    </row>
    <row r="338" spans="1:24" x14ac:dyDescent="0.15">
      <c r="A338" s="226"/>
      <c r="B338" s="226"/>
      <c r="C338" s="311"/>
      <c r="D338" s="290" t="s">
        <v>829</v>
      </c>
      <c r="E338" s="290" t="s">
        <v>834</v>
      </c>
      <c r="F338" s="290" t="s">
        <v>903</v>
      </c>
      <c r="G338" s="241"/>
      <c r="H338" s="311"/>
      <c r="I338" s="290" t="s">
        <v>829</v>
      </c>
      <c r="J338" s="290" t="s">
        <v>834</v>
      </c>
      <c r="K338" s="290" t="s">
        <v>903</v>
      </c>
      <c r="L338" s="245"/>
    </row>
    <row r="339" spans="1:24" x14ac:dyDescent="0.15">
      <c r="A339" s="226"/>
      <c r="B339" s="226"/>
      <c r="C339" s="290" t="s">
        <v>1162</v>
      </c>
      <c r="D339" s="312">
        <f>J126</f>
        <v>4.3346759464619913</v>
      </c>
      <c r="E339" s="312">
        <f>J129</f>
        <v>13.551891019232713</v>
      </c>
      <c r="F339" s="312">
        <f>SUM(D339:E339)</f>
        <v>17.886566965694705</v>
      </c>
      <c r="G339" s="241"/>
      <c r="H339" s="290" t="s">
        <v>1162</v>
      </c>
      <c r="I339" s="312">
        <f>J109</f>
        <v>0.86120535822669864</v>
      </c>
      <c r="J339" s="312">
        <f>J112</f>
        <v>0.25836160746800957</v>
      </c>
      <c r="K339" s="312">
        <f>I339+J339</f>
        <v>1.1195669656947083</v>
      </c>
      <c r="L339" s="245"/>
      <c r="M339" s="182"/>
      <c r="N339" s="182"/>
      <c r="O339" s="241"/>
      <c r="P339" s="241"/>
      <c r="Q339" s="241"/>
      <c r="R339" s="241"/>
      <c r="S339" s="241"/>
      <c r="T339" s="241"/>
      <c r="U339" s="241"/>
      <c r="V339" s="241"/>
      <c r="W339" s="241"/>
      <c r="X339" s="241"/>
    </row>
    <row r="340" spans="1:24" ht="15.75" x14ac:dyDescent="0.15">
      <c r="A340" s="226"/>
      <c r="B340" s="226"/>
      <c r="C340" s="290" t="s">
        <v>763</v>
      </c>
      <c r="D340" s="312">
        <f>J127</f>
        <v>1.6054355357266632</v>
      </c>
      <c r="E340" s="312">
        <f>J130</f>
        <v>13.551891019232713</v>
      </c>
      <c r="F340" s="312">
        <f>SUM(D340:E340)</f>
        <v>15.157326554959376</v>
      </c>
      <c r="G340" s="245"/>
      <c r="H340" s="290" t="s">
        <v>763</v>
      </c>
      <c r="I340" s="312">
        <f>J110</f>
        <v>0.31896494749136983</v>
      </c>
      <c r="J340" s="312">
        <f>J113</f>
        <v>0.25836160746800957</v>
      </c>
      <c r="K340" s="312">
        <f>I340+J340</f>
        <v>0.57732655495937935</v>
      </c>
      <c r="L340" s="245"/>
      <c r="M340" s="182"/>
      <c r="N340" s="182"/>
      <c r="O340" s="241"/>
      <c r="P340" s="241"/>
      <c r="Q340" s="241"/>
      <c r="R340" s="241"/>
      <c r="S340" s="241"/>
      <c r="T340" s="241"/>
      <c r="U340" s="241"/>
      <c r="V340" s="241"/>
      <c r="W340" s="241"/>
      <c r="X340" s="241"/>
    </row>
    <row r="341" spans="1:24" x14ac:dyDescent="0.15">
      <c r="A341" s="226"/>
      <c r="B341" s="226"/>
      <c r="C341" s="182"/>
      <c r="D341" s="248"/>
      <c r="E341" s="248"/>
      <c r="F341" s="248"/>
      <c r="G341" s="245"/>
      <c r="H341" s="182"/>
      <c r="I341" s="248"/>
      <c r="J341" s="248"/>
      <c r="K341" s="248"/>
      <c r="L341" s="245"/>
      <c r="M341" s="182"/>
      <c r="N341" s="182"/>
      <c r="O341" s="241"/>
      <c r="P341" s="241"/>
      <c r="Q341" s="241"/>
      <c r="R341" s="241"/>
      <c r="S341" s="241"/>
      <c r="T341" s="241"/>
      <c r="U341" s="241"/>
      <c r="V341" s="241"/>
      <c r="W341" s="241"/>
      <c r="X341" s="241"/>
    </row>
    <row r="342" spans="1:24" x14ac:dyDescent="0.15">
      <c r="A342" s="226"/>
      <c r="B342" s="226"/>
      <c r="C342" s="245"/>
      <c r="D342" s="245"/>
      <c r="E342" s="245"/>
      <c r="F342" s="245"/>
      <c r="G342" s="245"/>
      <c r="H342" s="245"/>
      <c r="I342" s="245"/>
      <c r="J342" s="245"/>
      <c r="K342" s="245"/>
      <c r="L342" s="245"/>
      <c r="M342" s="182"/>
      <c r="N342" s="182"/>
      <c r="O342" s="241"/>
      <c r="P342" s="241"/>
      <c r="Q342" s="241"/>
      <c r="R342" s="241"/>
      <c r="S342" s="241"/>
      <c r="T342" s="241"/>
      <c r="U342" s="241"/>
      <c r="V342" s="241"/>
      <c r="W342" s="241"/>
      <c r="X342" s="241"/>
    </row>
    <row r="343" spans="1:24" x14ac:dyDescent="0.15">
      <c r="A343" s="226"/>
      <c r="B343" s="226"/>
      <c r="C343" s="245"/>
      <c r="D343" s="245"/>
      <c r="E343" s="245"/>
      <c r="F343" s="245"/>
      <c r="G343" s="245"/>
      <c r="H343" s="245"/>
      <c r="I343" s="245"/>
      <c r="J343" s="245"/>
      <c r="K343" s="245"/>
      <c r="L343" s="245"/>
      <c r="M343" s="182"/>
      <c r="N343" s="182"/>
      <c r="O343" s="241"/>
      <c r="P343" s="241"/>
      <c r="Q343" s="241"/>
      <c r="R343" s="241"/>
      <c r="S343" s="241"/>
      <c r="T343" s="241"/>
      <c r="U343" s="241"/>
      <c r="V343" s="241"/>
      <c r="W343" s="241"/>
      <c r="X343" s="241"/>
    </row>
    <row r="344" spans="1:24" x14ac:dyDescent="0.15">
      <c r="A344" s="226"/>
      <c r="B344" s="226"/>
      <c r="C344" s="245"/>
      <c r="D344" s="245"/>
      <c r="E344" s="245"/>
      <c r="F344" s="245"/>
      <c r="G344" s="245"/>
      <c r="H344" s="245"/>
      <c r="I344" s="245"/>
      <c r="J344" s="245"/>
      <c r="K344" s="245"/>
      <c r="L344" s="245"/>
      <c r="M344" s="182"/>
      <c r="N344" s="182"/>
      <c r="O344" s="290" t="str">
        <f>IF(AND(D251="V1&lt;V5、",E251="ρ1&lt;ρ6"),"Case 1",IF(AND(D251="V1&lt;V5、",E251="ρ1=ρ6"),"Case 2",IF(AND(D251="V1&lt;V5、",E251="ρ1&gt;ρ6"),"Case 3",IF(AND(D251="V1=V5、",E251="ρ1&lt;ρ6"),"Case 4",IF(AND(D251="V1=V5、",E251="ρ1=ρ6"),"Case 5",IF(AND(D251="V1=V5、",E251="ρ1&gt;ρ6"),"Case 6",""))))))</f>
        <v>Case 1</v>
      </c>
      <c r="P344" s="290" t="str">
        <f>IF(AND(D251="V1&gt;V5、",E251="ρ1&lt;ρ6"),"Case 7",IF(AND(D251="V1&gt;V5、",E251="ρ1=ρ6"),"Case 8",IF(AND(D251="V1&gt;V5、",E251="ρ1&gt;ρ6"),"Case 9","")))</f>
        <v/>
      </c>
      <c r="Q344" s="241"/>
      <c r="R344" s="241"/>
      <c r="S344" s="241"/>
      <c r="T344" s="241"/>
      <c r="U344" s="241"/>
      <c r="V344" s="241"/>
      <c r="W344" s="241"/>
      <c r="X344" s="241"/>
    </row>
    <row r="345" spans="1:24" x14ac:dyDescent="0.15">
      <c r="A345" s="226"/>
      <c r="B345" s="226"/>
      <c r="C345" s="313" t="s">
        <v>1167</v>
      </c>
      <c r="D345" s="314"/>
      <c r="E345" s="290" t="s">
        <v>954</v>
      </c>
      <c r="F345" s="310">
        <f>J178</f>
        <v>1.1606243874907229</v>
      </c>
      <c r="G345" s="241"/>
      <c r="H345" s="313" t="s">
        <v>1168</v>
      </c>
      <c r="I345" s="314"/>
      <c r="J345" s="301" t="s">
        <v>1166</v>
      </c>
      <c r="K345" s="315">
        <f>J165</f>
        <v>18.488929184853227</v>
      </c>
      <c r="L345" s="245"/>
      <c r="M345" s="182"/>
      <c r="N345" s="182"/>
      <c r="O345" s="245"/>
      <c r="P345" s="247"/>
      <c r="Q345" s="241"/>
      <c r="R345" s="241"/>
      <c r="S345" s="241"/>
      <c r="T345" s="241"/>
      <c r="U345" s="241"/>
      <c r="V345" s="241"/>
      <c r="W345" s="241"/>
      <c r="X345" s="241"/>
    </row>
    <row r="346" spans="1:24" x14ac:dyDescent="0.15">
      <c r="A346" s="226"/>
      <c r="B346" s="226"/>
      <c r="C346" s="311"/>
      <c r="D346" s="290" t="s">
        <v>829</v>
      </c>
      <c r="E346" s="290" t="s">
        <v>834</v>
      </c>
      <c r="F346" s="290" t="s">
        <v>903</v>
      </c>
      <c r="G346" s="241"/>
      <c r="H346" s="311"/>
      <c r="I346" s="290" t="s">
        <v>829</v>
      </c>
      <c r="J346" s="290" t="s">
        <v>834</v>
      </c>
      <c r="K346" s="290" t="s">
        <v>903</v>
      </c>
      <c r="L346" s="245"/>
      <c r="M346" s="182"/>
      <c r="N346" s="182"/>
      <c r="O346" s="316">
        <f>(J69-J176)/J197</f>
        <v>-0.16953378707587063</v>
      </c>
      <c r="P346" s="241"/>
      <c r="Q346" s="241"/>
      <c r="R346" s="241"/>
      <c r="S346" s="241"/>
      <c r="T346" s="241"/>
      <c r="U346" s="241"/>
      <c r="V346" s="241"/>
      <c r="W346" s="241"/>
      <c r="X346" s="241"/>
    </row>
    <row r="347" spans="1:24" x14ac:dyDescent="0.15">
      <c r="A347" s="226"/>
      <c r="B347" s="226"/>
      <c r="C347" s="290" t="s">
        <v>1162</v>
      </c>
      <c r="D347" s="312">
        <f>J169</f>
        <v>3.7895583366451651</v>
      </c>
      <c r="E347" s="312">
        <f>J172</f>
        <v>13.451104610379515</v>
      </c>
      <c r="F347" s="312">
        <f>SUM(D347:E347)</f>
        <v>17.240662947024681</v>
      </c>
      <c r="G347" s="241"/>
      <c r="H347" s="290" t="s">
        <v>1162</v>
      </c>
      <c r="I347" s="312">
        <f>J156</f>
        <v>0.54511760981682633</v>
      </c>
      <c r="J347" s="312">
        <f>J159</f>
        <v>0.10078640885319753</v>
      </c>
      <c r="K347" s="312">
        <f>SUM(I347:J347)</f>
        <v>0.64590401867002389</v>
      </c>
      <c r="L347" s="245"/>
      <c r="M347" s="182"/>
      <c r="N347" s="182"/>
      <c r="O347" s="241"/>
      <c r="P347" s="241"/>
      <c r="Q347" s="241"/>
      <c r="R347" s="241"/>
      <c r="S347" s="241"/>
      <c r="T347" s="241"/>
      <c r="U347" s="241"/>
      <c r="V347" s="241"/>
      <c r="W347" s="241"/>
      <c r="X347" s="241"/>
    </row>
    <row r="348" spans="1:24" ht="15.75" x14ac:dyDescent="0.15">
      <c r="A348" s="226"/>
      <c r="B348" s="226"/>
      <c r="C348" s="290" t="s">
        <v>763</v>
      </c>
      <c r="D348" s="312">
        <f>J170</f>
        <v>1.4035401246833943</v>
      </c>
      <c r="E348" s="312">
        <f>J173</f>
        <v>13.451104610379515</v>
      </c>
      <c r="F348" s="312">
        <f>SUM(D348:E348)</f>
        <v>14.854644735062909</v>
      </c>
      <c r="G348" s="241"/>
      <c r="H348" s="290" t="s">
        <v>763</v>
      </c>
      <c r="I348" s="312">
        <f>J157</f>
        <v>0.20189541104326902</v>
      </c>
      <c r="J348" s="312">
        <f>J160</f>
        <v>0.10078640885319753</v>
      </c>
      <c r="K348" s="312">
        <f>SUM(I348:J348)</f>
        <v>0.30268181989646659</v>
      </c>
      <c r="L348" s="245"/>
      <c r="M348" s="182"/>
      <c r="N348" s="182"/>
      <c r="O348" s="312">
        <f>IF(OR(G251="Case 1",G251="Case 4"),U260,IF(OR(G251="Case 2",G251="Case 5"),U268,IF(OR(G251="Case 3",G251="Case 6"),U281,IF(AND(G251="Case 7",U298&gt;=0),U298,IF(AND(G251="Case 7",U298&lt;0),U319,"")))))</f>
        <v>0.59529868975860234</v>
      </c>
      <c r="P348" s="316" t="str">
        <f>IF(AND(OR(G251="Case 8",G251="Case 9"),U321&lt;=O346),U319,IF(AND(OR(G251="Case 8",G251="Case 9"),U321&gt;O346),U334,""))</f>
        <v/>
      </c>
      <c r="Q348" s="241"/>
      <c r="R348" s="241"/>
      <c r="S348" s="241"/>
      <c r="T348" s="241"/>
      <c r="U348" s="241"/>
      <c r="V348" s="241"/>
      <c r="W348" s="241"/>
      <c r="X348" s="241"/>
    </row>
    <row r="349" spans="1:24" x14ac:dyDescent="0.15">
      <c r="A349" s="226"/>
      <c r="B349" s="226"/>
      <c r="C349" s="245"/>
      <c r="D349" s="245"/>
      <c r="E349" s="245"/>
      <c r="F349" s="245"/>
      <c r="G349" s="245"/>
      <c r="H349" s="245"/>
      <c r="I349" s="245"/>
      <c r="J349" s="245"/>
      <c r="K349" s="245"/>
      <c r="L349" s="245"/>
      <c r="M349" s="182"/>
      <c r="N349" s="182"/>
      <c r="O349" s="312">
        <f>IF(OR(G251="Case 1",G251="Case 4"),U261,IF(OR(G251="Case 2",G251="Case 5"),U269,IF(OR(G251="Case 3",G251="Case 6"),U282,IF(AND(G251="Case 7",U298&gt;=0),U299,IF(AND(G251="Case 7",U298&lt;0),U320,"")))))</f>
        <v>0.27464473506291043</v>
      </c>
      <c r="P349" s="316" t="str">
        <f>IF(AND(OR(G251="Case 8",G251="Case 9"),U321&lt;=O346),U320,IF(AND(OR(G251="Case 8",G251="Case 9"),U321&gt;O346),U335,""))</f>
        <v/>
      </c>
      <c r="Q349" s="241"/>
      <c r="R349" s="241"/>
      <c r="S349" s="241"/>
      <c r="T349" s="241"/>
      <c r="U349" s="241"/>
      <c r="V349" s="241"/>
      <c r="W349" s="241"/>
      <c r="X349" s="241"/>
    </row>
    <row r="350" spans="1:24" x14ac:dyDescent="0.15">
      <c r="A350" s="226"/>
      <c r="B350" s="245"/>
      <c r="C350" s="245"/>
      <c r="D350" s="245"/>
      <c r="E350" s="245"/>
      <c r="F350" s="245"/>
      <c r="G350" s="245"/>
      <c r="H350" s="245"/>
      <c r="I350" s="245"/>
      <c r="J350" s="245"/>
      <c r="K350" s="245"/>
      <c r="L350" s="245"/>
      <c r="M350" s="182"/>
      <c r="N350" s="182"/>
      <c r="O350" s="312">
        <f>IF(OR(G251="Case 1",G251="Case 4"),U262,IF(OR(G251="Case 2",G251="Case 5"),U270,IF(OR(G251="Case 3",G251="Case 6"),U283,IF(AND(G251="Case 7",U298&gt;=0),U300,IF(AND(G251="Case 7",U298&lt;0),U321,"")))))</f>
        <v>0</v>
      </c>
      <c r="P350" s="316" t="str">
        <f>IF(AND(OR(G251="Case 8",G251="Case 9"),U321&lt;=O346),U321,IF(AND(OR(G251="Case 8",G251="Case 9"),U321&gt;O346),U336,""))</f>
        <v/>
      </c>
      <c r="Q350" s="241"/>
      <c r="R350" s="241"/>
      <c r="S350" s="241"/>
      <c r="T350" s="241"/>
      <c r="U350" s="241"/>
      <c r="V350" s="241"/>
      <c r="W350" s="241"/>
      <c r="X350" s="241"/>
    </row>
    <row r="351" spans="1:24" x14ac:dyDescent="0.15">
      <c r="A351" s="226"/>
      <c r="B351" s="226"/>
      <c r="C351" s="245"/>
      <c r="D351" s="245"/>
      <c r="E351" s="245"/>
      <c r="F351" s="245"/>
      <c r="G351" s="245"/>
      <c r="H351" s="245"/>
      <c r="I351" s="245"/>
      <c r="J351" s="245"/>
      <c r="K351" s="245"/>
      <c r="L351" s="245"/>
      <c r="M351" s="182"/>
      <c r="N351" s="182"/>
      <c r="O351" s="312">
        <f>IF(OR(G251="Case 1",G251="Case 4"),U263,IF(OR(G251="Case 2",G251="Case 5"),U271,IF(OR(G251="Case 3",G251="Case 6"),U284,IF(AND(G251="Case 7",U298&gt;=0),U301,IF(AND(G251="Case 7",U298&lt;0),U322,"")))))</f>
        <v>0.59529868975860234</v>
      </c>
      <c r="P351" s="316" t="str">
        <f>IF(AND(OR(G251="Case 8",G251="Case 9"),U321&lt;=O346),U322,IF(AND(OR(G251="Case 8",G251="Case 9"),U321&gt;O346),U337,""))</f>
        <v/>
      </c>
      <c r="Q351" s="241"/>
      <c r="R351" s="241"/>
      <c r="S351" s="241"/>
      <c r="T351" s="241"/>
      <c r="U351" s="241"/>
      <c r="V351" s="241"/>
      <c r="W351" s="241"/>
      <c r="X351" s="241"/>
    </row>
    <row r="352" spans="1:24" x14ac:dyDescent="0.15">
      <c r="A352" s="226"/>
      <c r="B352" s="226"/>
      <c r="C352" s="245"/>
      <c r="D352" s="245"/>
      <c r="E352" s="245"/>
      <c r="F352" s="245"/>
      <c r="G352" s="245"/>
      <c r="H352" s="245"/>
      <c r="I352" s="245"/>
      <c r="J352" s="245"/>
      <c r="K352" s="245"/>
      <c r="L352" s="245"/>
      <c r="M352" s="182"/>
      <c r="N352" s="182"/>
      <c r="O352" s="245"/>
      <c r="P352" s="241"/>
      <c r="Q352" s="241"/>
      <c r="R352" s="241"/>
      <c r="S352" s="241"/>
      <c r="T352" s="241"/>
      <c r="U352" s="241"/>
      <c r="V352" s="241"/>
      <c r="W352" s="241"/>
      <c r="X352" s="241"/>
    </row>
    <row r="353" spans="1:24" x14ac:dyDescent="0.15">
      <c r="A353" s="226"/>
      <c r="B353" s="226"/>
      <c r="C353" s="317" t="s">
        <v>1169</v>
      </c>
      <c r="D353" s="314"/>
      <c r="E353" s="290" t="s">
        <v>983</v>
      </c>
      <c r="F353" s="310">
        <f>J208</f>
        <v>1.1606243874907227</v>
      </c>
      <c r="G353" s="241"/>
      <c r="H353" s="317" t="s">
        <v>1170</v>
      </c>
      <c r="I353" s="314"/>
      <c r="J353" s="290" t="s">
        <v>1000</v>
      </c>
      <c r="K353" s="310">
        <f>J226</f>
        <v>1.4594594594594594</v>
      </c>
      <c r="L353" s="245"/>
      <c r="M353" s="182"/>
      <c r="N353" s="182"/>
      <c r="O353" s="245"/>
      <c r="P353" s="241"/>
      <c r="Q353" s="241"/>
      <c r="R353" s="241"/>
      <c r="S353" s="241"/>
      <c r="T353" s="241"/>
      <c r="U353" s="241"/>
      <c r="V353" s="241"/>
      <c r="W353" s="241"/>
      <c r="X353" s="241"/>
    </row>
    <row r="354" spans="1:24" x14ac:dyDescent="0.15">
      <c r="A354" s="226"/>
      <c r="B354" s="226"/>
      <c r="C354" s="311"/>
      <c r="D354" s="290" t="s">
        <v>829</v>
      </c>
      <c r="E354" s="290" t="s">
        <v>834</v>
      </c>
      <c r="F354" s="290" t="s">
        <v>903</v>
      </c>
      <c r="G354" s="241"/>
      <c r="H354" s="311"/>
      <c r="I354" s="290" t="s">
        <v>829</v>
      </c>
      <c r="J354" s="290" t="s">
        <v>834</v>
      </c>
      <c r="K354" s="290" t="s">
        <v>903</v>
      </c>
      <c r="L354" s="245"/>
      <c r="M354" s="182"/>
      <c r="N354" s="182"/>
      <c r="O354" s="245"/>
      <c r="P354" s="241"/>
      <c r="Q354" s="241"/>
      <c r="R354" s="241"/>
      <c r="S354" s="241"/>
      <c r="T354" s="241"/>
      <c r="U354" s="241"/>
      <c r="V354" s="241"/>
      <c r="W354" s="241"/>
      <c r="X354" s="241"/>
    </row>
    <row r="355" spans="1:24" x14ac:dyDescent="0.15">
      <c r="A355" s="226"/>
      <c r="B355" s="226"/>
      <c r="C355" s="290" t="s">
        <v>1162</v>
      </c>
      <c r="D355" s="312">
        <f>J199</f>
        <v>2.3392335411389911</v>
      </c>
      <c r="E355" s="312">
        <f>J202</f>
        <v>8.303150994061431</v>
      </c>
      <c r="F355" s="312">
        <f>SUM(D355:E355)</f>
        <v>10.642384535200422</v>
      </c>
      <c r="G355" s="241"/>
      <c r="H355" s="290" t="s">
        <v>1162</v>
      </c>
      <c r="I355" s="312">
        <f>J284</f>
        <v>0</v>
      </c>
      <c r="J355" s="312">
        <f>J287</f>
        <v>0</v>
      </c>
      <c r="K355" s="312">
        <f>SUM(I355:J355)</f>
        <v>0</v>
      </c>
      <c r="L355" s="245"/>
      <c r="M355" s="182"/>
      <c r="N355" s="182"/>
      <c r="O355" s="245"/>
      <c r="P355" s="241"/>
      <c r="Q355" s="241"/>
      <c r="R355" s="241"/>
      <c r="S355" s="241"/>
      <c r="T355" s="241"/>
      <c r="U355" s="241"/>
      <c r="V355" s="241"/>
      <c r="W355" s="241"/>
      <c r="X355" s="241"/>
    </row>
    <row r="356" spans="1:24" ht="15.75" x14ac:dyDescent="0.15">
      <c r="A356" s="226"/>
      <c r="B356" s="226"/>
      <c r="C356" s="290" t="s">
        <v>763</v>
      </c>
      <c r="D356" s="312">
        <f>J200</f>
        <v>0.8663827930144411</v>
      </c>
      <c r="E356" s="312">
        <f>J203</f>
        <v>8.303150994061431</v>
      </c>
      <c r="F356" s="312">
        <f>SUM(D356:E356)</f>
        <v>9.1695337870758724</v>
      </c>
      <c r="G356" s="241"/>
      <c r="H356" s="290" t="s">
        <v>763</v>
      </c>
      <c r="I356" s="312">
        <f>J285</f>
        <v>0</v>
      </c>
      <c r="J356" s="312">
        <f>J288</f>
        <v>0</v>
      </c>
      <c r="K356" s="312">
        <f>SUM(I356:J356)</f>
        <v>0</v>
      </c>
      <c r="L356" s="245"/>
      <c r="M356" s="182"/>
      <c r="N356" s="182"/>
      <c r="O356" s="245"/>
      <c r="P356" s="241"/>
      <c r="Q356" s="241"/>
      <c r="R356" s="241"/>
      <c r="S356" s="241"/>
      <c r="T356" s="241"/>
      <c r="U356" s="241"/>
      <c r="V356" s="241"/>
      <c r="W356" s="241"/>
      <c r="X356" s="241"/>
    </row>
    <row r="357" spans="1:24" x14ac:dyDescent="0.15">
      <c r="A357" s="226"/>
      <c r="B357" s="226"/>
      <c r="C357" s="241"/>
      <c r="D357" s="241"/>
      <c r="E357" s="241"/>
      <c r="F357" s="241"/>
      <c r="G357" s="241"/>
      <c r="H357" s="245"/>
      <c r="I357" s="245"/>
      <c r="J357" s="245"/>
      <c r="K357" s="245"/>
      <c r="L357" s="245"/>
      <c r="M357" s="182"/>
      <c r="N357" s="182"/>
      <c r="O357" s="241"/>
      <c r="P357" s="241"/>
      <c r="Q357" s="241"/>
      <c r="R357" s="241"/>
      <c r="S357" s="241"/>
      <c r="T357" s="241"/>
      <c r="U357" s="241"/>
      <c r="V357" s="241"/>
      <c r="W357" s="241"/>
      <c r="X357" s="241"/>
    </row>
    <row r="358" spans="1:24" ht="15.75" x14ac:dyDescent="0.15">
      <c r="A358" s="226"/>
      <c r="B358" s="226"/>
      <c r="C358" s="241"/>
      <c r="D358" s="241"/>
      <c r="E358" s="241"/>
      <c r="F358" s="241"/>
      <c r="G358" s="241"/>
      <c r="H358" s="318" t="s">
        <v>1171</v>
      </c>
      <c r="I358" s="319"/>
      <c r="J358" s="290" t="s">
        <v>763</v>
      </c>
      <c r="K358" s="312">
        <f>J312</f>
        <v>0.96438387740893572</v>
      </c>
      <c r="L358" s="245"/>
      <c r="M358" s="182"/>
      <c r="N358" s="182"/>
      <c r="O358" s="241"/>
      <c r="P358" s="241"/>
      <c r="Q358" s="241"/>
      <c r="R358" s="241"/>
      <c r="S358" s="241"/>
      <c r="T358" s="241"/>
      <c r="U358" s="241"/>
      <c r="V358" s="241"/>
      <c r="W358" s="241"/>
      <c r="X358" s="241"/>
    </row>
    <row r="359" spans="1:24" x14ac:dyDescent="0.15">
      <c r="A359" s="226"/>
      <c r="B359" s="226"/>
      <c r="C359" s="241"/>
      <c r="D359" s="241"/>
      <c r="E359" s="241"/>
      <c r="F359" s="241"/>
      <c r="G359" s="241"/>
      <c r="H359" s="245"/>
      <c r="I359" s="245"/>
      <c r="J359" s="245"/>
      <c r="K359" s="245"/>
      <c r="L359" s="245"/>
      <c r="M359" s="182"/>
      <c r="N359" s="182"/>
      <c r="O359" s="241"/>
      <c r="P359" s="241"/>
      <c r="Q359" s="241"/>
      <c r="R359" s="241"/>
      <c r="S359" s="241"/>
      <c r="T359" s="241"/>
      <c r="U359" s="241"/>
      <c r="V359" s="241"/>
      <c r="W359" s="241"/>
      <c r="X359" s="241"/>
    </row>
    <row r="360" spans="1:24" x14ac:dyDescent="0.15">
      <c r="A360" s="226"/>
      <c r="B360" s="226"/>
      <c r="C360" s="241"/>
      <c r="D360" s="241"/>
      <c r="E360" s="241"/>
      <c r="F360" s="241"/>
      <c r="G360" s="241"/>
      <c r="H360" s="241"/>
      <c r="I360" s="241"/>
      <c r="J360" s="241"/>
      <c r="K360" s="241"/>
      <c r="L360" s="245"/>
      <c r="M360" s="182"/>
      <c r="N360" s="182"/>
      <c r="O360" s="241"/>
      <c r="P360" s="241"/>
      <c r="Q360" s="241"/>
      <c r="R360" s="241"/>
      <c r="S360" s="241"/>
      <c r="T360" s="241"/>
      <c r="U360" s="241"/>
      <c r="V360" s="241"/>
      <c r="W360" s="241"/>
      <c r="X360" s="241"/>
    </row>
    <row r="361" spans="1:24" x14ac:dyDescent="0.15">
      <c r="A361" s="226"/>
      <c r="B361" s="226"/>
      <c r="C361" s="318" t="s">
        <v>1172</v>
      </c>
      <c r="D361" s="319"/>
      <c r="E361" s="320"/>
      <c r="F361" s="321"/>
      <c r="G361" s="241"/>
      <c r="H361" s="318" t="s">
        <v>1173</v>
      </c>
      <c r="I361" s="319"/>
      <c r="J361" s="320"/>
      <c r="K361" s="321"/>
      <c r="L361" s="245"/>
      <c r="M361" s="182"/>
      <c r="N361" s="182"/>
      <c r="O361" s="241"/>
      <c r="P361" s="241"/>
      <c r="Q361" s="241"/>
      <c r="R361" s="241"/>
      <c r="S361" s="241"/>
      <c r="T361" s="241"/>
      <c r="U361" s="241"/>
      <c r="V361" s="241"/>
      <c r="W361" s="241"/>
      <c r="X361" s="241"/>
    </row>
    <row r="362" spans="1:24" x14ac:dyDescent="0.15">
      <c r="A362" s="226"/>
      <c r="B362" s="226"/>
      <c r="C362" s="311"/>
      <c r="D362" s="290" t="s">
        <v>829</v>
      </c>
      <c r="E362" s="290" t="s">
        <v>834</v>
      </c>
      <c r="F362" s="290" t="s">
        <v>903</v>
      </c>
      <c r="G362" s="241"/>
      <c r="H362" s="311"/>
      <c r="I362" s="290" t="s">
        <v>829</v>
      </c>
      <c r="J362" s="290" t="s">
        <v>834</v>
      </c>
      <c r="K362" s="290" t="s">
        <v>903</v>
      </c>
      <c r="L362" s="245"/>
      <c r="M362" s="182"/>
      <c r="N362" s="182"/>
      <c r="O362" s="241"/>
      <c r="P362" s="241"/>
      <c r="Q362" s="241"/>
      <c r="R362" s="241"/>
      <c r="S362" s="241"/>
      <c r="T362" s="241"/>
      <c r="U362" s="241"/>
      <c r="V362" s="241"/>
      <c r="W362" s="241"/>
      <c r="X362" s="241"/>
    </row>
    <row r="363" spans="1:24" x14ac:dyDescent="0.15">
      <c r="A363" s="226"/>
      <c r="B363" s="226"/>
      <c r="C363" s="290" t="s">
        <v>1162</v>
      </c>
      <c r="D363" s="312">
        <f>J262</f>
        <v>0.24602331644693776</v>
      </c>
      <c r="E363" s="312">
        <f>J265</f>
        <v>0.87326413057673657</v>
      </c>
      <c r="F363" s="312">
        <f>SUM(D363:E363)</f>
        <v>1.1192874470236744</v>
      </c>
      <c r="G363" s="241"/>
      <c r="H363" s="290" t="s">
        <v>1162</v>
      </c>
      <c r="I363" s="312">
        <f>J273</f>
        <v>7.006443196293291E-2</v>
      </c>
      <c r="J363" s="312">
        <f>J276</f>
        <v>0.24869494544700935</v>
      </c>
      <c r="K363" s="312">
        <f>SUM(I363:J363)</f>
        <v>0.31875937740994226</v>
      </c>
      <c r="L363" s="245"/>
      <c r="M363" s="182"/>
      <c r="N363" s="182"/>
      <c r="O363" s="241"/>
      <c r="P363" s="241"/>
      <c r="Q363" s="241"/>
      <c r="R363" s="241"/>
      <c r="S363" s="241"/>
      <c r="T363" s="241"/>
      <c r="U363" s="241"/>
      <c r="V363" s="241"/>
      <c r="W363" s="241"/>
      <c r="X363" s="241"/>
    </row>
    <row r="364" spans="1:24" ht="15.75" x14ac:dyDescent="0.15">
      <c r="A364" s="226"/>
      <c r="B364" s="226"/>
      <c r="C364" s="290" t="s">
        <v>763</v>
      </c>
      <c r="D364" s="312">
        <f>J263</f>
        <v>9.1119746832199158E-2</v>
      </c>
      <c r="E364" s="312">
        <f>J266</f>
        <v>0.87326413057673657</v>
      </c>
      <c r="F364" s="312">
        <f>SUM(D364:E364)</f>
        <v>0.96438387740893572</v>
      </c>
      <c r="G364" s="241"/>
      <c r="H364" s="290" t="s">
        <v>763</v>
      </c>
      <c r="I364" s="312">
        <f>J274</f>
        <v>2.5949789615901078E-2</v>
      </c>
      <c r="J364" s="312">
        <f>J277</f>
        <v>0.24869494544700935</v>
      </c>
      <c r="K364" s="312">
        <f>SUM(I364:J364)</f>
        <v>0.27464473506291043</v>
      </c>
      <c r="L364" s="245"/>
      <c r="M364" s="182"/>
      <c r="N364" s="182"/>
      <c r="O364" s="241"/>
      <c r="P364" s="241">
        <f>0.019/0.016</f>
        <v>1.1875</v>
      </c>
      <c r="Q364" s="241"/>
      <c r="R364" s="241"/>
      <c r="S364" s="241"/>
      <c r="T364" s="241"/>
      <c r="U364" s="241"/>
      <c r="V364" s="241"/>
      <c r="W364" s="241"/>
      <c r="X364" s="241"/>
    </row>
    <row r="365" spans="1:24" x14ac:dyDescent="0.15">
      <c r="A365" s="226"/>
      <c r="B365" s="226"/>
      <c r="C365" s="182"/>
      <c r="D365" s="248"/>
      <c r="E365" s="248"/>
      <c r="F365" s="248"/>
      <c r="G365" s="241"/>
      <c r="H365" s="182"/>
      <c r="I365" s="248"/>
      <c r="J365" s="248"/>
      <c r="K365" s="248"/>
      <c r="L365" s="245"/>
      <c r="M365" s="182"/>
      <c r="N365" s="182"/>
      <c r="O365" s="241"/>
      <c r="P365" s="241"/>
      <c r="Q365" s="241"/>
      <c r="R365" s="241"/>
      <c r="S365" s="241"/>
      <c r="T365" s="241"/>
      <c r="U365" s="241"/>
      <c r="V365" s="241"/>
      <c r="W365" s="241"/>
      <c r="X365" s="241"/>
    </row>
    <row r="366" spans="1:24" x14ac:dyDescent="0.15">
      <c r="A366" s="226"/>
      <c r="B366" s="226"/>
      <c r="C366" s="241"/>
      <c r="D366" s="241"/>
      <c r="E366" s="241"/>
      <c r="F366" s="241"/>
      <c r="G366" s="241"/>
      <c r="H366" s="241"/>
      <c r="I366" s="241"/>
      <c r="J366" s="241"/>
      <c r="K366" s="241"/>
      <c r="L366" s="245"/>
      <c r="M366" s="182"/>
      <c r="N366" s="182"/>
      <c r="O366" s="241"/>
      <c r="P366" s="241"/>
      <c r="Q366" s="241"/>
      <c r="R366" s="241"/>
      <c r="S366" s="241"/>
      <c r="T366" s="241"/>
      <c r="U366" s="241"/>
      <c r="V366" s="241"/>
      <c r="W366" s="241"/>
      <c r="X366" s="241"/>
    </row>
    <row r="367" spans="1:24" x14ac:dyDescent="0.15">
      <c r="A367" s="226"/>
      <c r="B367" s="226"/>
      <c r="C367" s="241"/>
      <c r="D367" s="241"/>
      <c r="E367" s="241"/>
      <c r="F367" s="241"/>
      <c r="G367" s="241"/>
      <c r="H367" s="241"/>
      <c r="I367" s="241"/>
      <c r="J367" s="241"/>
      <c r="K367" s="241"/>
      <c r="L367" s="245"/>
      <c r="M367" s="182"/>
      <c r="N367" s="182"/>
      <c r="O367" s="241"/>
      <c r="P367" s="241"/>
      <c r="Q367" s="241"/>
      <c r="R367" s="241"/>
      <c r="S367" s="241"/>
      <c r="T367" s="241"/>
      <c r="U367" s="241"/>
      <c r="V367" s="241"/>
      <c r="W367" s="241"/>
      <c r="X367" s="241"/>
    </row>
    <row r="368" spans="1:24" x14ac:dyDescent="0.15">
      <c r="A368" s="226"/>
      <c r="B368" s="226"/>
      <c r="C368" s="241"/>
      <c r="D368" s="241"/>
      <c r="E368" s="241"/>
      <c r="F368" s="241"/>
      <c r="G368" s="241"/>
      <c r="H368" s="245"/>
      <c r="I368" s="245"/>
      <c r="J368" s="245"/>
      <c r="K368" s="245"/>
      <c r="L368" s="245"/>
      <c r="M368" s="182"/>
      <c r="N368" s="182"/>
      <c r="O368" s="241"/>
      <c r="P368" s="241"/>
      <c r="Q368" s="241"/>
      <c r="R368" s="241"/>
      <c r="S368" s="241"/>
      <c r="T368" s="241"/>
      <c r="U368" s="241"/>
      <c r="V368" s="241"/>
      <c r="W368" s="241"/>
      <c r="X368" s="241"/>
    </row>
    <row r="369" spans="1:24" x14ac:dyDescent="0.15">
      <c r="A369" s="226"/>
      <c r="B369" s="226"/>
      <c r="C369" s="308" t="s">
        <v>1174</v>
      </c>
      <c r="D369" s="319"/>
      <c r="E369" s="320"/>
      <c r="F369" s="321"/>
      <c r="G369" s="241"/>
      <c r="H369" s="271" t="s">
        <v>1175</v>
      </c>
      <c r="I369" s="322">
        <f>G9</f>
        <v>100</v>
      </c>
      <c r="J369" s="271" t="s">
        <v>132</v>
      </c>
      <c r="K369" s="245"/>
      <c r="L369" s="245"/>
      <c r="M369" s="182"/>
      <c r="N369" s="182"/>
      <c r="O369" s="241"/>
      <c r="P369" s="241"/>
      <c r="Q369" s="241"/>
      <c r="R369" s="241"/>
      <c r="S369" s="241"/>
      <c r="T369" s="241"/>
      <c r="U369" s="241"/>
      <c r="V369" s="241"/>
      <c r="W369" s="241"/>
      <c r="X369" s="241"/>
    </row>
    <row r="370" spans="1:24" x14ac:dyDescent="0.15">
      <c r="A370" s="226"/>
      <c r="B370" s="226"/>
      <c r="C370" s="311"/>
      <c r="D370" s="290" t="s">
        <v>829</v>
      </c>
      <c r="E370" s="290" t="s">
        <v>834</v>
      </c>
      <c r="F370" s="290" t="s">
        <v>903</v>
      </c>
      <c r="G370" s="241"/>
      <c r="H370" s="267"/>
      <c r="I370" s="250"/>
      <c r="J370" s="247"/>
      <c r="K370" s="245"/>
      <c r="L370" s="245"/>
      <c r="M370" s="182"/>
      <c r="N370" s="182"/>
      <c r="O370" s="241"/>
      <c r="P370" s="241"/>
      <c r="Q370" s="241"/>
      <c r="R370" s="241"/>
      <c r="S370" s="241"/>
      <c r="T370" s="241"/>
      <c r="U370" s="241"/>
      <c r="V370" s="241"/>
      <c r="W370" s="241"/>
      <c r="X370" s="241"/>
    </row>
    <row r="371" spans="1:24" ht="15.75" x14ac:dyDescent="0.15">
      <c r="A371" s="226"/>
      <c r="B371" s="226"/>
      <c r="C371" s="290" t="s">
        <v>1162</v>
      </c>
      <c r="D371" s="312">
        <f>J300</f>
        <v>0.31608774840987064</v>
      </c>
      <c r="E371" s="312">
        <f>J303</f>
        <v>1.1219590760237459</v>
      </c>
      <c r="F371" s="312">
        <f>D371+E371</f>
        <v>1.4380468244336164</v>
      </c>
      <c r="G371" s="241"/>
      <c r="H371" s="271" t="s">
        <v>1176</v>
      </c>
      <c r="I371" s="322">
        <f>G9/G23*K348</f>
        <v>12.456041971048005</v>
      </c>
      <c r="J371" s="271" t="s">
        <v>1177</v>
      </c>
      <c r="K371" s="245"/>
      <c r="L371" s="245"/>
      <c r="M371" s="182"/>
      <c r="N371" s="182"/>
      <c r="O371" s="241"/>
      <c r="P371" s="241"/>
      <c r="Q371" s="241"/>
      <c r="R371" s="241"/>
      <c r="S371" s="241"/>
      <c r="T371" s="241"/>
      <c r="U371" s="241"/>
      <c r="V371" s="241"/>
      <c r="W371" s="241"/>
      <c r="X371" s="241"/>
    </row>
    <row r="372" spans="1:24" ht="15.75" x14ac:dyDescent="0.15">
      <c r="A372" s="226"/>
      <c r="B372" s="226"/>
      <c r="C372" s="290" t="s">
        <v>763</v>
      </c>
      <c r="D372" s="312">
        <f>J301</f>
        <v>0.11706953644810024</v>
      </c>
      <c r="E372" s="312">
        <f>J304</f>
        <v>1.1219590760237459</v>
      </c>
      <c r="F372" s="312">
        <f>D372+E372</f>
        <v>1.2390286124718461</v>
      </c>
      <c r="G372" s="241"/>
      <c r="H372" s="247"/>
      <c r="I372" s="250"/>
      <c r="J372" s="247"/>
      <c r="K372" s="245"/>
      <c r="L372" s="245"/>
      <c r="M372" s="182"/>
      <c r="N372" s="182"/>
      <c r="O372" s="241"/>
      <c r="P372" s="241"/>
      <c r="Q372" s="241"/>
      <c r="R372" s="241"/>
      <c r="S372" s="241"/>
      <c r="T372" s="241"/>
      <c r="U372" s="241"/>
      <c r="V372" s="241"/>
      <c r="W372" s="241"/>
      <c r="X372" s="241"/>
    </row>
    <row r="373" spans="1:24" ht="15.75" x14ac:dyDescent="0.15">
      <c r="A373" s="226"/>
      <c r="B373" s="226"/>
      <c r="C373" s="245"/>
      <c r="D373" s="245"/>
      <c r="E373" s="245"/>
      <c r="F373" s="245"/>
      <c r="G373" s="245"/>
      <c r="H373" s="271" t="s">
        <v>1178</v>
      </c>
      <c r="I373" s="322">
        <f>G9/G23*F372+K332</f>
        <v>59.988831788964859</v>
      </c>
      <c r="J373" s="271" t="s">
        <v>1177</v>
      </c>
      <c r="K373" s="241"/>
      <c r="L373" s="245"/>
      <c r="M373" s="182"/>
      <c r="N373" s="182"/>
      <c r="O373" s="241"/>
      <c r="P373" s="241"/>
      <c r="Q373" s="241"/>
      <c r="R373" s="241"/>
      <c r="S373" s="241"/>
      <c r="T373" s="241"/>
      <c r="U373" s="241"/>
      <c r="V373" s="241"/>
      <c r="W373" s="241"/>
      <c r="X373" s="241"/>
    </row>
    <row r="374" spans="1:24" x14ac:dyDescent="0.15">
      <c r="A374" s="226"/>
      <c r="B374" s="226"/>
      <c r="C374" s="318" t="s">
        <v>1179</v>
      </c>
      <c r="D374" s="319"/>
      <c r="E374" s="285" t="s">
        <v>1180</v>
      </c>
      <c r="F374" s="312">
        <f>J323</f>
        <v>5.3582912066426722E-2</v>
      </c>
      <c r="G374" s="323"/>
      <c r="H374" s="247" t="s">
        <v>1181</v>
      </c>
      <c r="I374" s="241"/>
      <c r="J374" s="241"/>
      <c r="K374" s="241"/>
      <c r="L374" s="245"/>
      <c r="M374" s="182"/>
      <c r="N374" s="182"/>
      <c r="O374" s="241"/>
      <c r="P374" s="241"/>
      <c r="Q374" s="241"/>
      <c r="R374" s="241"/>
      <c r="S374" s="241"/>
      <c r="T374" s="241"/>
      <c r="U374" s="241"/>
      <c r="V374" s="241"/>
      <c r="W374" s="241"/>
      <c r="X374" s="241"/>
    </row>
    <row r="375" spans="1:24" x14ac:dyDescent="0.15">
      <c r="L375" s="245"/>
      <c r="M375" s="182"/>
      <c r="N375" s="182"/>
      <c r="O375" s="241"/>
      <c r="P375" s="241"/>
      <c r="Q375" s="241"/>
      <c r="R375" s="241"/>
      <c r="S375" s="241"/>
      <c r="T375" s="241"/>
      <c r="U375" s="241"/>
      <c r="V375" s="241"/>
      <c r="W375" s="241"/>
      <c r="X375" s="241"/>
    </row>
  </sheetData>
  <phoneticPr fontId="2"/>
  <pageMargins left="0.75" right="0.75" top="1" bottom="1" header="0.51200000000000001" footer="0.51200000000000001"/>
  <pageSetup paperSize="9" orientation="portrait" horizontalDpi="300" verticalDpi="300" r:id="rId1"/>
  <headerFooter alignWithMargins="0"/>
  <rowBreaks count="8" manualBreakCount="8">
    <brk id="45" max="16383" man="1"/>
    <brk id="78" max="16383" man="1"/>
    <brk id="114" max="16383" man="1"/>
    <brk id="166" max="16383" man="1"/>
    <brk id="211" max="16383" man="1"/>
    <brk id="259" max="16383" man="1"/>
    <brk id="313" max="16383" man="1"/>
    <brk id="326" max="16383"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61893-5966-4918-81DA-BDBDF995D1AE}">
  <sheetPr codeName="Sheet4"/>
  <dimension ref="A1:AG141"/>
  <sheetViews>
    <sheetView zoomScale="85" zoomScaleNormal="85" workbookViewId="0">
      <selection activeCell="R16" sqref="R16"/>
    </sheetView>
  </sheetViews>
  <sheetFormatPr defaultColWidth="9" defaultRowHeight="20.100000000000001" customHeight="1" x14ac:dyDescent="0.15"/>
  <cols>
    <col min="1" max="1" width="2.125" style="181" customWidth="1"/>
    <col min="2" max="2" width="3" style="181" customWidth="1"/>
    <col min="3" max="3" width="5.375" style="181" customWidth="1"/>
    <col min="4" max="5" width="6.75" style="181" customWidth="1"/>
    <col min="6" max="6" width="7.75" style="181" customWidth="1"/>
    <col min="7" max="7" width="7.25" style="181" customWidth="1"/>
    <col min="8" max="8" width="6.75" style="181" customWidth="1"/>
    <col min="9" max="10" width="6.125" style="181" customWidth="1"/>
    <col min="11" max="11" width="12.25" style="181" customWidth="1"/>
    <col min="12" max="15" width="9" style="181"/>
    <col min="16" max="20" width="5.75" style="181" customWidth="1"/>
    <col min="21" max="21" width="7.375" style="181" customWidth="1"/>
    <col min="22" max="22" width="5.75" style="181" customWidth="1"/>
    <col min="23" max="23" width="7.375" style="181" customWidth="1"/>
    <col min="24" max="26" width="6.75" style="181" customWidth="1"/>
    <col min="27" max="16384" width="9" style="181"/>
  </cols>
  <sheetData>
    <row r="1" spans="1:33" ht="20.100000000000001" customHeight="1" thickBot="1" x14ac:dyDescent="0.2">
      <c r="A1" s="821" t="s">
        <v>1182</v>
      </c>
      <c r="B1" s="821"/>
      <c r="C1" s="821"/>
      <c r="D1" s="821"/>
      <c r="E1" s="180"/>
      <c r="F1" s="180"/>
      <c r="G1" s="180"/>
      <c r="H1" s="180"/>
      <c r="I1" s="180"/>
      <c r="J1" s="180"/>
      <c r="K1" s="180"/>
      <c r="L1" s="180"/>
      <c r="M1" s="180"/>
      <c r="N1" s="183"/>
      <c r="O1" s="183"/>
      <c r="P1" s="183"/>
      <c r="Q1" s="183"/>
      <c r="R1" s="183"/>
      <c r="S1" s="183"/>
      <c r="T1" s="183"/>
      <c r="U1" s="183"/>
      <c r="V1" s="183"/>
      <c r="W1" s="183"/>
      <c r="X1" s="183"/>
      <c r="Y1" s="183"/>
      <c r="Z1" s="183"/>
      <c r="AA1" s="183"/>
      <c r="AB1" s="183"/>
      <c r="AC1" s="183"/>
      <c r="AD1" s="183"/>
      <c r="AE1" s="183"/>
      <c r="AF1" s="183"/>
      <c r="AG1" s="183"/>
    </row>
    <row r="2" spans="1:33" ht="20.100000000000001" customHeight="1" thickTop="1" x14ac:dyDescent="0.15">
      <c r="A2" s="180"/>
      <c r="B2" s="180"/>
      <c r="C2" s="180" t="s">
        <v>125</v>
      </c>
      <c r="D2" s="180"/>
      <c r="E2" s="180"/>
      <c r="F2" s="180"/>
      <c r="G2" s="180"/>
      <c r="H2" s="189"/>
      <c r="I2" s="189"/>
      <c r="J2" s="180"/>
      <c r="K2" s="184" t="s">
        <v>265</v>
      </c>
      <c r="L2" s="185">
        <f>条件入力!D8</f>
        <v>400</v>
      </c>
      <c r="M2" s="180" t="s">
        <v>97</v>
      </c>
      <c r="N2" s="183"/>
      <c r="O2" s="824" t="s">
        <v>125</v>
      </c>
      <c r="P2" s="795" t="s">
        <v>80</v>
      </c>
      <c r="Q2" s="795"/>
      <c r="R2" s="795"/>
      <c r="S2" s="795"/>
      <c r="T2" s="785"/>
      <c r="U2" s="464" t="s">
        <v>1183</v>
      </c>
      <c r="V2" s="186" t="s">
        <v>1184</v>
      </c>
      <c r="W2" s="186" t="s">
        <v>1185</v>
      </c>
      <c r="X2" s="823" t="s">
        <v>1186</v>
      </c>
      <c r="Y2" s="795"/>
      <c r="Z2" s="187" t="s">
        <v>1187</v>
      </c>
      <c r="AA2" s="784" t="s">
        <v>1188</v>
      </c>
      <c r="AB2" s="785"/>
      <c r="AC2" s="795" t="s">
        <v>1189</v>
      </c>
      <c r="AD2" s="795"/>
      <c r="AE2" s="784" t="s">
        <v>1190</v>
      </c>
      <c r="AF2" s="785"/>
      <c r="AG2" s="183"/>
    </row>
    <row r="3" spans="1:33" ht="20.100000000000001" customHeight="1" x14ac:dyDescent="0.15">
      <c r="A3" s="180"/>
      <c r="B3" s="180"/>
      <c r="C3" s="816" t="s">
        <v>1191</v>
      </c>
      <c r="D3" s="816"/>
      <c r="E3" s="180" t="s">
        <v>1192</v>
      </c>
      <c r="F3" s="180"/>
      <c r="G3" s="180"/>
      <c r="H3" s="189"/>
      <c r="I3" s="189"/>
      <c r="J3" s="180"/>
      <c r="K3" s="188">
        <f>IF(条件入力!D8&lt;=500,4,1)</f>
        <v>4</v>
      </c>
      <c r="L3" s="189" t="str">
        <f>IF(K3=1,"DH",IF(K3=3,"DT",IF(K3=4,"DH-Fs",IF(K3=5,"DH-Ds",IF(K3=2,"DH‐L","")))))</f>
        <v>DH-Fs</v>
      </c>
      <c r="M3" s="180"/>
      <c r="N3" s="183"/>
      <c r="O3" s="825"/>
      <c r="P3" s="472" t="s">
        <v>1193</v>
      </c>
      <c r="Q3" s="462" t="s">
        <v>1194</v>
      </c>
      <c r="R3" s="472" t="s">
        <v>1195</v>
      </c>
      <c r="S3" s="462" t="s">
        <v>1189</v>
      </c>
      <c r="T3" s="190" t="s">
        <v>1196</v>
      </c>
      <c r="U3" s="472" t="s">
        <v>97</v>
      </c>
      <c r="V3" s="462" t="s">
        <v>411</v>
      </c>
      <c r="W3" s="462" t="s">
        <v>97</v>
      </c>
      <c r="X3" s="462">
        <v>50</v>
      </c>
      <c r="Y3" s="472">
        <v>70</v>
      </c>
      <c r="Z3" s="191" t="s">
        <v>1197</v>
      </c>
      <c r="AA3" s="192" t="s">
        <v>1198</v>
      </c>
      <c r="AB3" s="191" t="s">
        <v>1199</v>
      </c>
      <c r="AC3" s="472" t="s">
        <v>1198</v>
      </c>
      <c r="AD3" s="463" t="s">
        <v>1199</v>
      </c>
      <c r="AE3" s="192" t="s">
        <v>1198</v>
      </c>
      <c r="AF3" s="191" t="s">
        <v>1199</v>
      </c>
      <c r="AG3" s="183"/>
    </row>
    <row r="4" spans="1:33" ht="20.100000000000001" customHeight="1" x14ac:dyDescent="0.15">
      <c r="A4" s="180"/>
      <c r="B4" s="180"/>
      <c r="C4" s="822" t="s">
        <v>1200</v>
      </c>
      <c r="D4" s="822"/>
      <c r="E4" s="180"/>
      <c r="F4" s="180"/>
      <c r="G4" s="180"/>
      <c r="H4" s="189"/>
      <c r="I4" s="189"/>
      <c r="J4" s="180"/>
      <c r="K4" s="184" t="s">
        <v>1201</v>
      </c>
      <c r="L4" s="193">
        <f>MAX(P4:T26)</f>
        <v>550</v>
      </c>
      <c r="M4" s="180" t="s">
        <v>97</v>
      </c>
      <c r="N4" s="183"/>
      <c r="O4" s="194">
        <v>250</v>
      </c>
      <c r="P4" s="194"/>
      <c r="Q4" s="195"/>
      <c r="R4" s="196"/>
      <c r="S4" s="195" t="str">
        <f>IF(AND(K3=4,L2=250),380,"")</f>
        <v/>
      </c>
      <c r="T4" s="197" t="str">
        <f>IF(AND(K3=5,L2=250),384,"")</f>
        <v/>
      </c>
      <c r="U4" s="196">
        <f t="shared" ref="U4:U26" si="0">O4+V4*2</f>
        <v>360</v>
      </c>
      <c r="V4" s="195">
        <v>55</v>
      </c>
      <c r="W4" s="195">
        <v>260</v>
      </c>
      <c r="X4" s="195">
        <v>510</v>
      </c>
      <c r="Y4" s="196">
        <v>690</v>
      </c>
      <c r="Z4" s="198">
        <v>4.0099999999999997E-2</v>
      </c>
      <c r="AA4" s="786">
        <v>750</v>
      </c>
      <c r="AB4" s="797">
        <v>2</v>
      </c>
      <c r="AC4" s="782">
        <v>450</v>
      </c>
      <c r="AD4" s="797">
        <v>2</v>
      </c>
      <c r="AE4" s="807"/>
      <c r="AF4" s="808"/>
      <c r="AG4" s="183"/>
    </row>
    <row r="5" spans="1:33" ht="20.100000000000001" customHeight="1" x14ac:dyDescent="0.15">
      <c r="A5" s="180"/>
      <c r="B5" s="180"/>
      <c r="C5" s="461" t="s">
        <v>1202</v>
      </c>
      <c r="D5" s="461"/>
      <c r="E5" s="180" t="s">
        <v>1203</v>
      </c>
      <c r="F5" s="180"/>
      <c r="G5" s="180"/>
      <c r="H5" s="189"/>
      <c r="I5" s="189"/>
      <c r="J5" s="180"/>
      <c r="K5" s="185">
        <f>IF(条件入力!D17=1,1,IF(条件入力!D17=2,3,""))</f>
        <v>1</v>
      </c>
      <c r="L5" s="189" t="str">
        <f>IF(K5=1,"Ⅰ種50",IF(K5=2,"Ⅱ種50",IF(K5=3,"Ⅰ種70",IF(K5=4,"Ⅱ種70",""))))</f>
        <v>Ⅰ種50</v>
      </c>
      <c r="M5" s="180"/>
      <c r="N5" s="183"/>
      <c r="O5" s="199">
        <v>300</v>
      </c>
      <c r="P5" s="199"/>
      <c r="Q5" s="200"/>
      <c r="R5" s="201"/>
      <c r="S5" s="200" t="str">
        <f>IF(AND(K3=4,L2=300),430,"")</f>
        <v/>
      </c>
      <c r="T5" s="202" t="str">
        <f>IF(AND(K3=5,L2=300),432,"")</f>
        <v/>
      </c>
      <c r="U5" s="201">
        <f t="shared" si="0"/>
        <v>414</v>
      </c>
      <c r="V5" s="200">
        <v>57</v>
      </c>
      <c r="W5" s="200">
        <v>315</v>
      </c>
      <c r="X5" s="200">
        <v>630</v>
      </c>
      <c r="Y5" s="201">
        <v>850</v>
      </c>
      <c r="Z5" s="202">
        <v>4.9399999999999999E-2</v>
      </c>
      <c r="AA5" s="786"/>
      <c r="AB5" s="798"/>
      <c r="AC5" s="796"/>
      <c r="AD5" s="798"/>
      <c r="AE5" s="803"/>
      <c r="AF5" s="804"/>
      <c r="AG5" s="183"/>
    </row>
    <row r="6" spans="1:33" ht="20.100000000000001" customHeight="1" x14ac:dyDescent="0.15">
      <c r="A6" s="180"/>
      <c r="B6" s="180"/>
      <c r="C6" s="180" t="s">
        <v>1204</v>
      </c>
      <c r="D6" s="180"/>
      <c r="E6" s="180"/>
      <c r="F6" s="180"/>
      <c r="G6" s="180"/>
      <c r="H6" s="189"/>
      <c r="I6" s="189"/>
      <c r="J6" s="180"/>
      <c r="K6" s="184" t="s">
        <v>1205</v>
      </c>
      <c r="L6" s="193">
        <f>MAX(U27:U29)</f>
        <v>526</v>
      </c>
      <c r="M6" s="180" t="s">
        <v>97</v>
      </c>
      <c r="N6" s="183"/>
      <c r="O6" s="203">
        <v>350</v>
      </c>
      <c r="P6" s="203"/>
      <c r="Q6" s="204"/>
      <c r="R6" s="205"/>
      <c r="S6" s="195" t="str">
        <f>IF(AND(K3=4,L2=350),490,"")</f>
        <v/>
      </c>
      <c r="T6" s="198" t="str">
        <f>IF(AND(K3=5,L2=350),490,"")</f>
        <v/>
      </c>
      <c r="U6" s="205">
        <f t="shared" si="0"/>
        <v>470</v>
      </c>
      <c r="V6" s="204">
        <v>60</v>
      </c>
      <c r="W6" s="204">
        <v>462</v>
      </c>
      <c r="X6" s="204">
        <v>770</v>
      </c>
      <c r="Y6" s="205">
        <v>1040</v>
      </c>
      <c r="Z6" s="198">
        <v>6.0699999999999997E-2</v>
      </c>
      <c r="AA6" s="786"/>
      <c r="AB6" s="798"/>
      <c r="AC6" s="811">
        <v>750</v>
      </c>
      <c r="AD6" s="798"/>
      <c r="AE6" s="803"/>
      <c r="AF6" s="804"/>
      <c r="AG6" s="183"/>
    </row>
    <row r="7" spans="1:33" ht="20.100000000000001" customHeight="1" x14ac:dyDescent="0.15">
      <c r="A7" s="180"/>
      <c r="B7" s="180"/>
      <c r="C7" s="180" t="s">
        <v>1206</v>
      </c>
      <c r="D7" s="180"/>
      <c r="E7" s="180"/>
      <c r="F7" s="180"/>
      <c r="G7" s="180"/>
      <c r="H7" s="189"/>
      <c r="I7" s="189"/>
      <c r="J7" s="180"/>
      <c r="K7" s="184" t="s">
        <v>1207</v>
      </c>
      <c r="L7" s="193">
        <f>MAX(V27:V29)</f>
        <v>63</v>
      </c>
      <c r="M7" s="180" t="s">
        <v>97</v>
      </c>
      <c r="N7" s="183"/>
      <c r="O7" s="199">
        <v>400</v>
      </c>
      <c r="P7" s="199"/>
      <c r="Q7" s="200"/>
      <c r="R7" s="201"/>
      <c r="S7" s="200">
        <f>IF(AND(K3=4,L2=400),550,"")</f>
        <v>550</v>
      </c>
      <c r="T7" s="202" t="str">
        <f>IF(AND(K3=5,L2=400),550,"")</f>
        <v/>
      </c>
      <c r="U7" s="201">
        <f t="shared" si="0"/>
        <v>526</v>
      </c>
      <c r="V7" s="200">
        <v>63</v>
      </c>
      <c r="W7" s="200">
        <v>548</v>
      </c>
      <c r="X7" s="200">
        <v>930</v>
      </c>
      <c r="Y7" s="201">
        <v>1250</v>
      </c>
      <c r="Z7" s="202">
        <v>7.2999999999999995E-2</v>
      </c>
      <c r="AA7" s="786"/>
      <c r="AB7" s="798"/>
      <c r="AC7" s="782"/>
      <c r="AD7" s="798"/>
      <c r="AE7" s="803"/>
      <c r="AF7" s="804"/>
      <c r="AG7" s="183"/>
    </row>
    <row r="8" spans="1:33" ht="20.100000000000001" customHeight="1" x14ac:dyDescent="0.15">
      <c r="A8" s="180"/>
      <c r="B8" s="180"/>
      <c r="C8" s="180" t="s">
        <v>1208</v>
      </c>
      <c r="D8" s="180"/>
      <c r="E8" s="180"/>
      <c r="F8" s="180"/>
      <c r="G8" s="180"/>
      <c r="H8" s="189"/>
      <c r="I8" s="189"/>
      <c r="J8" s="180"/>
      <c r="K8" s="184" t="s">
        <v>1209</v>
      </c>
      <c r="L8" s="193">
        <f>MAX(W27:W29)</f>
        <v>548</v>
      </c>
      <c r="M8" s="180" t="s">
        <v>546</v>
      </c>
      <c r="N8" s="183"/>
      <c r="O8" s="203">
        <v>450</v>
      </c>
      <c r="P8" s="203"/>
      <c r="Q8" s="204"/>
      <c r="R8" s="205"/>
      <c r="S8" s="195" t="str">
        <f>IF(AND(K3=4,L2=450),600,"")</f>
        <v/>
      </c>
      <c r="T8" s="198" t="str">
        <f>IF(AND(K3=5,L2=450),600,"")</f>
        <v/>
      </c>
      <c r="U8" s="205">
        <f t="shared" si="0"/>
        <v>584</v>
      </c>
      <c r="V8" s="204">
        <v>67</v>
      </c>
      <c r="W8" s="204">
        <v>651</v>
      </c>
      <c r="X8" s="204">
        <v>1120</v>
      </c>
      <c r="Y8" s="205">
        <v>1510</v>
      </c>
      <c r="Z8" s="198">
        <v>8.8099999999999998E-2</v>
      </c>
      <c r="AA8" s="786"/>
      <c r="AB8" s="798"/>
      <c r="AC8" s="782"/>
      <c r="AD8" s="798"/>
      <c r="AE8" s="803"/>
      <c r="AF8" s="804"/>
      <c r="AG8" s="183"/>
    </row>
    <row r="9" spans="1:33" ht="20.100000000000001" customHeight="1" x14ac:dyDescent="0.15">
      <c r="A9" s="180"/>
      <c r="B9" s="180"/>
      <c r="C9" s="180" t="s">
        <v>1210</v>
      </c>
      <c r="D9" s="180"/>
      <c r="E9" s="180"/>
      <c r="F9" s="180"/>
      <c r="G9" s="180"/>
      <c r="H9" s="189"/>
      <c r="I9" s="189"/>
      <c r="J9" s="180"/>
      <c r="K9" s="184" t="s">
        <v>1211</v>
      </c>
      <c r="L9" s="193">
        <f>ROUND(PI()*(L2+L7)/1000*L7/1000*2.45*9.80665,3)</f>
        <v>2.202</v>
      </c>
      <c r="M9" s="180" t="s">
        <v>1212</v>
      </c>
      <c r="N9" s="183"/>
      <c r="O9" s="199">
        <v>500</v>
      </c>
      <c r="P9" s="199"/>
      <c r="Q9" s="200"/>
      <c r="R9" s="201"/>
      <c r="S9" s="200" t="str">
        <f>IF(AND(K3=4,L2=500),670,"")</f>
        <v/>
      </c>
      <c r="T9" s="202" t="str">
        <f>IF(AND(K3=5,L2=500),672,"")</f>
        <v/>
      </c>
      <c r="U9" s="201">
        <f t="shared" si="0"/>
        <v>640</v>
      </c>
      <c r="V9" s="200">
        <v>70</v>
      </c>
      <c r="W9" s="200">
        <v>749</v>
      </c>
      <c r="X9" s="200">
        <v>1310</v>
      </c>
      <c r="Y9" s="201">
        <v>1760</v>
      </c>
      <c r="Z9" s="202">
        <v>0.1026</v>
      </c>
      <c r="AA9" s="787"/>
      <c r="AB9" s="798"/>
      <c r="AC9" s="796"/>
      <c r="AD9" s="799"/>
      <c r="AE9" s="803"/>
      <c r="AF9" s="804"/>
      <c r="AG9" s="183"/>
    </row>
    <row r="10" spans="1:33" ht="20.100000000000001" customHeight="1" x14ac:dyDescent="0.15">
      <c r="A10" s="180"/>
      <c r="B10" s="180"/>
      <c r="C10" s="180" t="s">
        <v>1213</v>
      </c>
      <c r="D10" s="180"/>
      <c r="E10" s="180"/>
      <c r="F10" s="180"/>
      <c r="G10" s="180"/>
      <c r="H10" s="189"/>
      <c r="I10" s="189"/>
      <c r="J10" s="180"/>
      <c r="K10" s="184" t="s">
        <v>1214</v>
      </c>
      <c r="L10" s="193">
        <f>IF(K5&lt;3,MAX(X27:X29),MAX(Y27:Y29))</f>
        <v>930</v>
      </c>
      <c r="M10" s="180" t="s">
        <v>1215</v>
      </c>
      <c r="N10" s="183"/>
      <c r="O10" s="203">
        <v>600</v>
      </c>
      <c r="P10" s="203" t="str">
        <f>IF(AND(K3=1,L2=600),790,"")</f>
        <v/>
      </c>
      <c r="Q10" s="206"/>
      <c r="R10" s="204" t="str">
        <f>IF(AND(K3=3,L2=600),780,"")</f>
        <v/>
      </c>
      <c r="S10" s="204"/>
      <c r="T10" s="207"/>
      <c r="U10" s="205">
        <f t="shared" si="0"/>
        <v>760</v>
      </c>
      <c r="V10" s="204">
        <v>80</v>
      </c>
      <c r="W10" s="204">
        <v>1030</v>
      </c>
      <c r="X10" s="204">
        <v>1750</v>
      </c>
      <c r="Y10" s="205">
        <v>2350</v>
      </c>
      <c r="Z10" s="198">
        <v>0.13689999999999999</v>
      </c>
      <c r="AA10" s="788">
        <v>1500</v>
      </c>
      <c r="AB10" s="798"/>
      <c r="AC10" s="801"/>
      <c r="AD10" s="802"/>
      <c r="AE10" s="803"/>
      <c r="AF10" s="804"/>
      <c r="AG10" s="183"/>
    </row>
    <row r="11" spans="1:33" ht="20.100000000000001" customHeight="1" x14ac:dyDescent="0.15">
      <c r="A11" s="180"/>
      <c r="B11" s="180"/>
      <c r="C11" s="180"/>
      <c r="D11" s="180"/>
      <c r="E11" s="180"/>
      <c r="F11" s="180"/>
      <c r="G11" s="180"/>
      <c r="H11" s="180"/>
      <c r="I11" s="180"/>
      <c r="J11" s="180"/>
      <c r="K11" s="180"/>
      <c r="L11" s="180"/>
      <c r="M11" s="180"/>
      <c r="N11" s="183"/>
      <c r="O11" s="199">
        <v>700</v>
      </c>
      <c r="P11" s="199" t="str">
        <f>IF(AND(K3=1,L2=700),910,"")</f>
        <v/>
      </c>
      <c r="Q11" s="208"/>
      <c r="R11" s="200" t="str">
        <f>IF(AND(K3=3,L2=700),902,"")</f>
        <v/>
      </c>
      <c r="S11" s="200"/>
      <c r="T11" s="209"/>
      <c r="U11" s="201">
        <f t="shared" si="0"/>
        <v>880</v>
      </c>
      <c r="V11" s="200">
        <v>90</v>
      </c>
      <c r="W11" s="200">
        <v>1340</v>
      </c>
      <c r="X11" s="200">
        <v>2340</v>
      </c>
      <c r="Y11" s="201">
        <v>3160</v>
      </c>
      <c r="Z11" s="202">
        <v>0.18390000000000001</v>
      </c>
      <c r="AA11" s="787"/>
      <c r="AB11" s="799"/>
      <c r="AC11" s="803"/>
      <c r="AD11" s="804"/>
      <c r="AE11" s="803"/>
      <c r="AF11" s="804"/>
      <c r="AG11" s="183"/>
    </row>
    <row r="12" spans="1:33" ht="20.100000000000001" customHeight="1" x14ac:dyDescent="0.15">
      <c r="A12" s="180"/>
      <c r="B12" s="180"/>
      <c r="C12" s="816" t="s">
        <v>105</v>
      </c>
      <c r="D12" s="816"/>
      <c r="E12" s="180" t="s">
        <v>1216</v>
      </c>
      <c r="F12" s="180"/>
      <c r="G12" s="180"/>
      <c r="H12" s="189"/>
      <c r="I12" s="189"/>
      <c r="J12" s="180"/>
      <c r="K12" s="193">
        <f>条件入力!D16</f>
        <v>1</v>
      </c>
      <c r="L12" s="189" t="str">
        <f>IF(K12=1,"砂",IF(K12=4,"シルト",IF(K12=3,"粘土",IF(K12=2,"礫",""))))</f>
        <v>砂</v>
      </c>
      <c r="M12" s="180"/>
      <c r="N12" s="183"/>
      <c r="O12" s="203">
        <v>800</v>
      </c>
      <c r="P12" s="203" t="str">
        <f>IF(AND(K3=1,L2=700),990,"")</f>
        <v/>
      </c>
      <c r="Q12" s="206"/>
      <c r="R12" s="204" t="str">
        <f>IF(AND(K3=3,L2=800),983,"")</f>
        <v/>
      </c>
      <c r="S12" s="204"/>
      <c r="T12" s="207"/>
      <c r="U12" s="205">
        <f t="shared" si="0"/>
        <v>960</v>
      </c>
      <c r="V12" s="204">
        <v>80</v>
      </c>
      <c r="W12" s="204">
        <v>1330</v>
      </c>
      <c r="X12" s="204">
        <v>2250</v>
      </c>
      <c r="Y12" s="205">
        <v>3030</v>
      </c>
      <c r="Z12" s="198">
        <v>0.17660000000000001</v>
      </c>
      <c r="AA12" s="788">
        <v>1000</v>
      </c>
      <c r="AB12" s="800">
        <v>4</v>
      </c>
      <c r="AC12" s="803"/>
      <c r="AD12" s="804"/>
      <c r="AE12" s="803"/>
      <c r="AF12" s="804"/>
      <c r="AG12" s="183"/>
    </row>
    <row r="13" spans="1:33" ht="20.100000000000001" customHeight="1" x14ac:dyDescent="0.15">
      <c r="A13" s="180"/>
      <c r="B13" s="180"/>
      <c r="C13" s="816" t="s">
        <v>279</v>
      </c>
      <c r="D13" s="816"/>
      <c r="E13" s="180"/>
      <c r="F13" s="180"/>
      <c r="G13" s="180"/>
      <c r="H13" s="189"/>
      <c r="I13" s="189"/>
      <c r="J13" s="180"/>
      <c r="K13" s="184" t="s">
        <v>1217</v>
      </c>
      <c r="L13" s="185">
        <f>条件入力!D9</f>
        <v>5</v>
      </c>
      <c r="M13" s="180" t="s">
        <v>317</v>
      </c>
      <c r="N13" s="183"/>
      <c r="O13" s="210">
        <v>900</v>
      </c>
      <c r="P13" s="199" t="str">
        <f>IF(AND(K3=1,L2=900),1110,"")</f>
        <v/>
      </c>
      <c r="Q13" s="208"/>
      <c r="R13" s="200" t="str">
        <f>IF(AND(K3=3,L2=900),1103,"")</f>
        <v/>
      </c>
      <c r="S13" s="200"/>
      <c r="T13" s="209"/>
      <c r="U13" s="201">
        <f t="shared" si="0"/>
        <v>1080</v>
      </c>
      <c r="V13" s="200">
        <v>90</v>
      </c>
      <c r="W13" s="200">
        <v>1670</v>
      </c>
      <c r="X13" s="200">
        <v>2930</v>
      </c>
      <c r="Y13" s="201">
        <v>3940</v>
      </c>
      <c r="Z13" s="202">
        <v>0.22969999999999999</v>
      </c>
      <c r="AA13" s="786"/>
      <c r="AB13" s="798"/>
      <c r="AC13" s="803"/>
      <c r="AD13" s="804"/>
      <c r="AE13" s="809"/>
      <c r="AF13" s="810"/>
      <c r="AG13" s="183"/>
    </row>
    <row r="14" spans="1:33" ht="20.100000000000001" customHeight="1" x14ac:dyDescent="0.15">
      <c r="A14" s="180"/>
      <c r="B14" s="180"/>
      <c r="C14" s="816" t="s">
        <v>280</v>
      </c>
      <c r="D14" s="816"/>
      <c r="E14" s="180"/>
      <c r="F14" s="180"/>
      <c r="G14" s="180"/>
      <c r="H14" s="189"/>
      <c r="I14" s="189"/>
      <c r="J14" s="180"/>
      <c r="K14" s="184" t="s">
        <v>281</v>
      </c>
      <c r="L14" s="185">
        <f>条件入力!D10</f>
        <v>3</v>
      </c>
      <c r="M14" s="180" t="s">
        <v>317</v>
      </c>
      <c r="N14" s="183"/>
      <c r="O14" s="211">
        <v>1000</v>
      </c>
      <c r="P14" s="203" t="str">
        <f>IF(AND(K3=1,L2=1000),1230,"")</f>
        <v/>
      </c>
      <c r="Q14" s="206" t="str">
        <f>IF(AND(K3=2,L2=1000),1240,"")</f>
        <v/>
      </c>
      <c r="R14" s="204" t="str">
        <f>IF(AND(K3=3,L2=1000),1223,"")</f>
        <v/>
      </c>
      <c r="S14" s="204"/>
      <c r="T14" s="207"/>
      <c r="U14" s="205">
        <f t="shared" si="0"/>
        <v>1200</v>
      </c>
      <c r="V14" s="204">
        <v>100</v>
      </c>
      <c r="W14" s="204">
        <v>2060</v>
      </c>
      <c r="X14" s="204">
        <v>3690</v>
      </c>
      <c r="Y14" s="205">
        <v>4970</v>
      </c>
      <c r="Z14" s="198">
        <v>0.28970000000000001</v>
      </c>
      <c r="AA14" s="787"/>
      <c r="AB14" s="798"/>
      <c r="AC14" s="803"/>
      <c r="AD14" s="804"/>
      <c r="AE14" s="788">
        <v>300</v>
      </c>
      <c r="AF14" s="800">
        <v>10</v>
      </c>
      <c r="AG14" s="183"/>
    </row>
    <row r="15" spans="1:33" ht="20.100000000000001" customHeight="1" x14ac:dyDescent="0.15">
      <c r="A15" s="180"/>
      <c r="B15" s="180"/>
      <c r="C15" s="816" t="s">
        <v>1218</v>
      </c>
      <c r="D15" s="816"/>
      <c r="E15" s="180"/>
      <c r="F15" s="180"/>
      <c r="G15" s="180"/>
      <c r="H15" s="189"/>
      <c r="I15" s="189"/>
      <c r="J15" s="180"/>
      <c r="K15" s="184"/>
      <c r="L15" s="185">
        <f>条件入力!I11</f>
        <v>10</v>
      </c>
      <c r="M15" s="180"/>
      <c r="N15" s="183"/>
      <c r="O15" s="210">
        <v>1100</v>
      </c>
      <c r="P15" s="199" t="str">
        <f>IF(AND(K3=1,L2=1100),1340,"")</f>
        <v/>
      </c>
      <c r="Q15" s="208" t="str">
        <f>IF(AND(K3=2,L2=1100),1360,"")</f>
        <v/>
      </c>
      <c r="R15" s="200" t="str">
        <f>IF(AND(K3=3,L2=1100),1333,"")</f>
        <v/>
      </c>
      <c r="S15" s="200"/>
      <c r="T15" s="209"/>
      <c r="U15" s="201">
        <f t="shared" si="0"/>
        <v>1310</v>
      </c>
      <c r="V15" s="200">
        <v>105</v>
      </c>
      <c r="W15" s="200">
        <v>2380</v>
      </c>
      <c r="X15" s="200">
        <v>4290</v>
      </c>
      <c r="Y15" s="201">
        <v>5770</v>
      </c>
      <c r="Z15" s="202">
        <v>0.33650000000000002</v>
      </c>
      <c r="AA15" s="789">
        <v>1500</v>
      </c>
      <c r="AB15" s="798"/>
      <c r="AC15" s="803"/>
      <c r="AD15" s="804"/>
      <c r="AE15" s="786"/>
      <c r="AF15" s="799"/>
      <c r="AG15" s="183"/>
    </row>
    <row r="16" spans="1:33" ht="20.100000000000001" customHeight="1" x14ac:dyDescent="0.15">
      <c r="A16" s="180"/>
      <c r="B16" s="180"/>
      <c r="C16" s="816"/>
      <c r="D16" s="816"/>
      <c r="E16" s="180"/>
      <c r="F16" s="180"/>
      <c r="G16" s="180"/>
      <c r="H16" s="189"/>
      <c r="I16" s="189"/>
      <c r="J16" s="180"/>
      <c r="K16" s="184"/>
      <c r="L16" s="212"/>
      <c r="M16" s="180"/>
      <c r="N16" s="183"/>
      <c r="O16" s="211">
        <v>1200</v>
      </c>
      <c r="P16" s="203" t="str">
        <f>IF(AND(K3=1,L2=1200),1460,"")</f>
        <v/>
      </c>
      <c r="Q16" s="206" t="str">
        <f>IF(AND(K3=2,L2=1200),1460,"")</f>
        <v/>
      </c>
      <c r="R16" s="204" t="str">
        <f>IF(AND(K3=3,L2=1200),1453,"")</f>
        <v/>
      </c>
      <c r="S16" s="204"/>
      <c r="T16" s="207"/>
      <c r="U16" s="205">
        <f t="shared" si="0"/>
        <v>1430</v>
      </c>
      <c r="V16" s="204">
        <v>115</v>
      </c>
      <c r="W16" s="204">
        <v>2840</v>
      </c>
      <c r="X16" s="204">
        <v>5210</v>
      </c>
      <c r="Y16" s="205">
        <v>7010</v>
      </c>
      <c r="Z16" s="198">
        <v>0.40839999999999999</v>
      </c>
      <c r="AA16" s="790"/>
      <c r="AB16" s="799"/>
      <c r="AC16" s="803"/>
      <c r="AD16" s="804"/>
      <c r="AE16" s="787"/>
      <c r="AF16" s="213">
        <v>12</v>
      </c>
      <c r="AG16" s="183"/>
    </row>
    <row r="17" spans="1:33" ht="20.100000000000001" customHeight="1" x14ac:dyDescent="0.15">
      <c r="A17" s="180"/>
      <c r="B17" s="180"/>
      <c r="C17" s="180"/>
      <c r="D17" s="180"/>
      <c r="E17" s="180"/>
      <c r="F17" s="180"/>
      <c r="G17" s="180"/>
      <c r="H17" s="189"/>
      <c r="I17" s="189"/>
      <c r="J17" s="180"/>
      <c r="K17" s="184"/>
      <c r="L17" s="193"/>
      <c r="M17" s="180"/>
      <c r="N17" s="183"/>
      <c r="O17" s="210">
        <v>1350</v>
      </c>
      <c r="P17" s="199" t="str">
        <f>IF(AND(K3=1,L2=1350),1630,"")</f>
        <v/>
      </c>
      <c r="Q17" s="208" t="str">
        <f>IF(AND(K3=2,L2=1350),1630,"")</f>
        <v/>
      </c>
      <c r="R17" s="200" t="str">
        <f>IF(AND(K3=3,L2=1350),1620,"")</f>
        <v/>
      </c>
      <c r="S17" s="200"/>
      <c r="T17" s="209"/>
      <c r="U17" s="201">
        <f t="shared" si="0"/>
        <v>1600</v>
      </c>
      <c r="V17" s="200">
        <v>125</v>
      </c>
      <c r="W17" s="200">
        <v>3460</v>
      </c>
      <c r="X17" s="200">
        <v>6120</v>
      </c>
      <c r="Y17" s="201">
        <v>8240</v>
      </c>
      <c r="Z17" s="202">
        <v>0.48</v>
      </c>
      <c r="AA17" s="790"/>
      <c r="AB17" s="800">
        <v>6</v>
      </c>
      <c r="AC17" s="803"/>
      <c r="AD17" s="804"/>
      <c r="AE17" s="788">
        <v>500</v>
      </c>
      <c r="AF17" s="213">
        <v>10</v>
      </c>
      <c r="AG17" s="183"/>
    </row>
    <row r="18" spans="1:33" ht="20.100000000000001" customHeight="1" x14ac:dyDescent="0.15">
      <c r="A18" s="180"/>
      <c r="B18" s="180"/>
      <c r="C18" s="816"/>
      <c r="D18" s="816"/>
      <c r="E18" s="180"/>
      <c r="F18" s="180"/>
      <c r="G18" s="180"/>
      <c r="H18" s="189"/>
      <c r="I18" s="189"/>
      <c r="J18" s="180"/>
      <c r="K18" s="184"/>
      <c r="L18" s="217"/>
      <c r="M18" s="180"/>
      <c r="N18" s="183"/>
      <c r="O18" s="211">
        <v>1500</v>
      </c>
      <c r="P18" s="203" t="str">
        <f>IF(AND(K3=1,L2=1500),1810,"")</f>
        <v/>
      </c>
      <c r="Q18" s="206" t="str">
        <f>IF(AND(K3=2,L2=1500),1810,"")</f>
        <v/>
      </c>
      <c r="R18" s="204" t="str">
        <f>IF(AND(K3=3,L2=1500),1800,"")</f>
        <v/>
      </c>
      <c r="S18" s="204"/>
      <c r="T18" s="207"/>
      <c r="U18" s="205">
        <f t="shared" si="0"/>
        <v>1780</v>
      </c>
      <c r="V18" s="204">
        <v>140</v>
      </c>
      <c r="W18" s="204">
        <v>4310</v>
      </c>
      <c r="X18" s="204">
        <v>7790</v>
      </c>
      <c r="Y18" s="205">
        <v>10480</v>
      </c>
      <c r="Z18" s="198">
        <v>0.61070000000000002</v>
      </c>
      <c r="AA18" s="792"/>
      <c r="AB18" s="798"/>
      <c r="AC18" s="803"/>
      <c r="AD18" s="804"/>
      <c r="AE18" s="786"/>
      <c r="AF18" s="800">
        <v>14</v>
      </c>
      <c r="AG18" s="183"/>
    </row>
    <row r="19" spans="1:33" ht="20.100000000000001" customHeight="1" x14ac:dyDescent="0.15">
      <c r="A19" s="180"/>
      <c r="B19" s="180"/>
      <c r="C19" s="816"/>
      <c r="D19" s="816"/>
      <c r="E19" s="180"/>
      <c r="F19" s="180"/>
      <c r="G19" s="180"/>
      <c r="H19" s="189"/>
      <c r="I19" s="189"/>
      <c r="J19" s="180"/>
      <c r="K19" s="184"/>
      <c r="L19" s="193"/>
      <c r="M19" s="180"/>
      <c r="N19" s="183"/>
      <c r="O19" s="210">
        <v>1650</v>
      </c>
      <c r="P19" s="199" t="str">
        <f>IF(AND(K3=1,L2=1650),1980,"")</f>
        <v/>
      </c>
      <c r="Q19" s="208" t="str">
        <f>IF(AND(K3=2,L2=1650),1980,"")</f>
        <v/>
      </c>
      <c r="R19" s="200" t="str">
        <f>IF(AND(K3=3,L2=1650),1970,"")</f>
        <v/>
      </c>
      <c r="S19" s="200"/>
      <c r="T19" s="209"/>
      <c r="U19" s="201">
        <f t="shared" si="0"/>
        <v>1950</v>
      </c>
      <c r="V19" s="200">
        <v>150</v>
      </c>
      <c r="W19" s="200">
        <v>5060</v>
      </c>
      <c r="X19" s="200">
        <v>9270</v>
      </c>
      <c r="Y19" s="201">
        <v>12480</v>
      </c>
      <c r="Z19" s="202">
        <v>0.72699999999999998</v>
      </c>
      <c r="AA19" s="789">
        <v>2000</v>
      </c>
      <c r="AB19" s="798"/>
      <c r="AC19" s="803"/>
      <c r="AD19" s="804"/>
      <c r="AE19" s="786"/>
      <c r="AF19" s="799"/>
      <c r="AG19" s="183"/>
    </row>
    <row r="20" spans="1:33" ht="20.100000000000001" customHeight="1" x14ac:dyDescent="0.15">
      <c r="A20" s="180"/>
      <c r="B20" s="180"/>
      <c r="C20" s="180"/>
      <c r="D20" s="180"/>
      <c r="E20" s="180"/>
      <c r="F20" s="180"/>
      <c r="G20" s="180"/>
      <c r="H20" s="180"/>
      <c r="I20" s="180"/>
      <c r="J20" s="180"/>
      <c r="K20" s="184"/>
      <c r="L20" s="193"/>
      <c r="M20" s="180"/>
      <c r="N20" s="183"/>
      <c r="O20" s="211">
        <v>1800</v>
      </c>
      <c r="P20" s="203" t="str">
        <f>IF(AND(K3=1,L2=1800),2150,"")</f>
        <v/>
      </c>
      <c r="Q20" s="206" t="str">
        <f>IF(AND(K3=2,L2=1800),2150,"")</f>
        <v/>
      </c>
      <c r="R20" s="204" t="str">
        <f>IF(AND(K3=3,L2=1800),2140,"")</f>
        <v/>
      </c>
      <c r="S20" s="204"/>
      <c r="T20" s="207"/>
      <c r="U20" s="205">
        <f t="shared" si="0"/>
        <v>2120</v>
      </c>
      <c r="V20" s="204">
        <v>160</v>
      </c>
      <c r="W20" s="204">
        <v>5890</v>
      </c>
      <c r="X20" s="204">
        <v>10880</v>
      </c>
      <c r="Y20" s="205">
        <v>14640</v>
      </c>
      <c r="Z20" s="198">
        <v>0.85329999999999995</v>
      </c>
      <c r="AA20" s="790"/>
      <c r="AB20" s="799"/>
      <c r="AC20" s="803"/>
      <c r="AD20" s="804"/>
      <c r="AE20" s="786"/>
      <c r="AF20" s="213">
        <v>16</v>
      </c>
      <c r="AG20" s="183"/>
    </row>
    <row r="21" spans="1:33" ht="20.100000000000001" customHeight="1" x14ac:dyDescent="0.15">
      <c r="A21" s="180"/>
      <c r="B21" s="180"/>
      <c r="C21" s="816" t="s">
        <v>684</v>
      </c>
      <c r="D21" s="816"/>
      <c r="E21" s="180"/>
      <c r="F21" s="180"/>
      <c r="G21" s="180"/>
      <c r="H21" s="189"/>
      <c r="I21" s="189"/>
      <c r="J21" s="180"/>
      <c r="K21" s="184" t="s">
        <v>277</v>
      </c>
      <c r="L21" s="215">
        <f>バランスシート!G11</f>
        <v>100</v>
      </c>
      <c r="M21" s="180" t="s">
        <v>317</v>
      </c>
      <c r="N21" s="183"/>
      <c r="O21" s="210">
        <v>2000</v>
      </c>
      <c r="P21" s="199" t="str">
        <f>IF(AND(K3=1,L2=2000),2375,"")</f>
        <v/>
      </c>
      <c r="Q21" s="208" t="str">
        <f>IF(AND(K3=2,L2=2000),2375,"")</f>
        <v/>
      </c>
      <c r="R21" s="200" t="str">
        <f>IF(AND(K3=3,L2=2000),2375,"")</f>
        <v/>
      </c>
      <c r="S21" s="200"/>
      <c r="T21" s="209"/>
      <c r="U21" s="201">
        <f t="shared" si="0"/>
        <v>2350</v>
      </c>
      <c r="V21" s="200">
        <v>175</v>
      </c>
      <c r="W21" s="200">
        <v>7140</v>
      </c>
      <c r="X21" s="200">
        <v>13380</v>
      </c>
      <c r="Y21" s="201">
        <v>18010</v>
      </c>
      <c r="Z21" s="202">
        <v>1.0494000000000001</v>
      </c>
      <c r="AA21" s="790"/>
      <c r="AB21" s="800">
        <v>8</v>
      </c>
      <c r="AC21" s="803"/>
      <c r="AD21" s="804"/>
      <c r="AE21" s="786"/>
      <c r="AF21" s="213">
        <v>18</v>
      </c>
      <c r="AG21" s="183"/>
    </row>
    <row r="22" spans="1:33" ht="20.100000000000001" customHeight="1" x14ac:dyDescent="0.15">
      <c r="A22" s="180"/>
      <c r="B22" s="180"/>
      <c r="C22" s="180"/>
      <c r="D22" s="180"/>
      <c r="E22" s="180"/>
      <c r="F22" s="180"/>
      <c r="G22" s="180"/>
      <c r="H22" s="180"/>
      <c r="I22" s="180"/>
      <c r="J22" s="180"/>
      <c r="K22" s="180"/>
      <c r="L22" s="180"/>
      <c r="M22" s="180"/>
      <c r="N22" s="183"/>
      <c r="O22" s="211">
        <v>2200</v>
      </c>
      <c r="P22" s="203" t="str">
        <f>IF(AND(K3=1,L2=2200),2610,"")</f>
        <v/>
      </c>
      <c r="Q22" s="206" t="str">
        <f>IF(AND(K3=2,L2=2200),2610,"")</f>
        <v/>
      </c>
      <c r="R22" s="204" t="str">
        <f>IF(AND(K3=3,L2=2200),2610,"")</f>
        <v/>
      </c>
      <c r="S22" s="204"/>
      <c r="T22" s="207"/>
      <c r="U22" s="205">
        <f t="shared" si="0"/>
        <v>2580</v>
      </c>
      <c r="V22" s="204">
        <v>190</v>
      </c>
      <c r="W22" s="204">
        <v>8540</v>
      </c>
      <c r="X22" s="204">
        <v>16140</v>
      </c>
      <c r="Y22" s="205">
        <v>21720</v>
      </c>
      <c r="Z22" s="198">
        <v>1.2657</v>
      </c>
      <c r="AA22" s="790"/>
      <c r="AB22" s="799"/>
      <c r="AC22" s="803"/>
      <c r="AD22" s="804"/>
      <c r="AE22" s="787"/>
      <c r="AF22" s="213">
        <v>20</v>
      </c>
      <c r="AG22" s="183"/>
    </row>
    <row r="23" spans="1:33" ht="20.100000000000001" customHeight="1" x14ac:dyDescent="0.15">
      <c r="A23" s="180"/>
      <c r="B23" s="180"/>
      <c r="C23" s="817" t="s">
        <v>1219</v>
      </c>
      <c r="D23" s="817"/>
      <c r="E23" s="180" t="s">
        <v>1220</v>
      </c>
      <c r="F23" s="180"/>
      <c r="G23" s="180"/>
      <c r="H23" s="180"/>
      <c r="I23" s="214">
        <v>1</v>
      </c>
      <c r="J23" s="180"/>
      <c r="K23" s="180"/>
      <c r="L23" s="180">
        <f>IF(I23=1,MAX(AA27,AC27),IF(I23=2,"kN",""))</f>
        <v>750</v>
      </c>
      <c r="M23" s="180" t="str">
        <f>IF(I23=1,"kN","")</f>
        <v>kN</v>
      </c>
      <c r="N23" s="183"/>
      <c r="O23" s="210">
        <v>2400</v>
      </c>
      <c r="P23" s="199" t="str">
        <f>IF(AND(K3=1,L2=2400),2840,"")</f>
        <v/>
      </c>
      <c r="Q23" s="208" t="str">
        <f>IF(AND(K3=2,L2=2400),2840,"")</f>
        <v/>
      </c>
      <c r="R23" s="200" t="str">
        <f>IF(AND(K3=3,L2=2400),2840,"")</f>
        <v/>
      </c>
      <c r="S23" s="200"/>
      <c r="T23" s="209"/>
      <c r="U23" s="201">
        <f t="shared" si="0"/>
        <v>2810</v>
      </c>
      <c r="V23" s="200">
        <v>205</v>
      </c>
      <c r="W23" s="200">
        <v>10100</v>
      </c>
      <c r="X23" s="200">
        <v>18600</v>
      </c>
      <c r="Y23" s="201">
        <v>25040</v>
      </c>
      <c r="Z23" s="202">
        <v>1.4590000000000001</v>
      </c>
      <c r="AA23" s="790"/>
      <c r="AB23" s="800">
        <v>10</v>
      </c>
      <c r="AC23" s="803"/>
      <c r="AD23" s="804"/>
      <c r="AE23" s="788">
        <v>1000</v>
      </c>
      <c r="AF23" s="213">
        <v>16</v>
      </c>
      <c r="AG23" s="183"/>
    </row>
    <row r="24" spans="1:33" ht="20.100000000000001" customHeight="1" x14ac:dyDescent="0.15">
      <c r="A24" s="180"/>
      <c r="B24" s="180"/>
      <c r="C24" s="817" t="s">
        <v>1219</v>
      </c>
      <c r="D24" s="817"/>
      <c r="E24" s="189" t="s">
        <v>1199</v>
      </c>
      <c r="F24" s="180"/>
      <c r="G24" s="180"/>
      <c r="H24" s="180"/>
      <c r="I24" s="214">
        <v>1</v>
      </c>
      <c r="J24" s="180"/>
      <c r="K24" s="180"/>
      <c r="L24" s="180">
        <f>IF(I24=1,MAX(AB27,AD27),IF(I24=2,"本",""))</f>
        <v>2</v>
      </c>
      <c r="M24" s="180" t="str">
        <f>IF(I23=1,"本","")</f>
        <v>本</v>
      </c>
      <c r="N24" s="183"/>
      <c r="O24" s="203">
        <v>2600</v>
      </c>
      <c r="P24" s="203" t="str">
        <f>IF(AND(K3=1,L2=2600),2840,"")</f>
        <v/>
      </c>
      <c r="Q24" s="206" t="str">
        <f>IF(AND(K3=2,L2=2600),3060,"")</f>
        <v/>
      </c>
      <c r="R24" s="204" t="str">
        <f>IF(AND(K3=3,L2=2600),3060,"")</f>
        <v/>
      </c>
      <c r="S24" s="204"/>
      <c r="T24" s="207"/>
      <c r="U24" s="205">
        <f t="shared" si="0"/>
        <v>3040</v>
      </c>
      <c r="V24" s="204">
        <v>220</v>
      </c>
      <c r="W24" s="204">
        <v>11700</v>
      </c>
      <c r="X24" s="204">
        <v>21830</v>
      </c>
      <c r="Y24" s="205">
        <v>29380</v>
      </c>
      <c r="Z24" s="198">
        <v>1.7121999999999999</v>
      </c>
      <c r="AA24" s="790"/>
      <c r="AB24" s="799"/>
      <c r="AC24" s="803"/>
      <c r="AD24" s="804"/>
      <c r="AE24" s="786"/>
      <c r="AF24" s="213">
        <v>20</v>
      </c>
      <c r="AG24" s="183"/>
    </row>
    <row r="25" spans="1:33" ht="20.100000000000001" customHeight="1" x14ac:dyDescent="0.15">
      <c r="A25" s="180"/>
      <c r="B25" s="180"/>
      <c r="C25" s="816"/>
      <c r="D25" s="816"/>
      <c r="E25" s="816"/>
      <c r="F25" s="180"/>
      <c r="G25" s="180"/>
      <c r="H25" s="180"/>
      <c r="I25" s="216"/>
      <c r="J25" s="818" t="str">
        <f>IF(F140&gt;=K140,"推進可能です。","再検討が必要です。")</f>
        <v>推進可能です。</v>
      </c>
      <c r="K25" s="818"/>
      <c r="L25" s="180"/>
      <c r="M25" s="180"/>
      <c r="N25" s="183"/>
      <c r="O25" s="199">
        <v>2800</v>
      </c>
      <c r="P25" s="199" t="str">
        <f>IF(AND(K3=1,L2=2800),2840,"")</f>
        <v/>
      </c>
      <c r="Q25" s="208" t="str">
        <f>IF(AND(K3=2,L2=2800),3300,"")</f>
        <v/>
      </c>
      <c r="R25" s="200" t="str">
        <f>IF(AND(K3=3,L2=2800),3300,"")</f>
        <v/>
      </c>
      <c r="S25" s="200"/>
      <c r="T25" s="209"/>
      <c r="U25" s="201">
        <f t="shared" si="0"/>
        <v>3270</v>
      </c>
      <c r="V25" s="200">
        <v>235</v>
      </c>
      <c r="W25" s="200">
        <v>13400</v>
      </c>
      <c r="X25" s="200">
        <v>25320</v>
      </c>
      <c r="Y25" s="201">
        <v>34080</v>
      </c>
      <c r="Z25" s="202">
        <v>1.9858</v>
      </c>
      <c r="AA25" s="790"/>
      <c r="AB25" s="800">
        <v>12</v>
      </c>
      <c r="AC25" s="803"/>
      <c r="AD25" s="804"/>
      <c r="AE25" s="786"/>
      <c r="AF25" s="213">
        <v>22</v>
      </c>
      <c r="AG25" s="183"/>
    </row>
    <row r="26" spans="1:33" ht="20.100000000000001" customHeight="1" thickBot="1" x14ac:dyDescent="0.2">
      <c r="A26" s="180"/>
      <c r="B26" s="180"/>
      <c r="C26" s="817"/>
      <c r="D26" s="817"/>
      <c r="E26" s="180"/>
      <c r="F26" s="180"/>
      <c r="G26" s="180"/>
      <c r="H26" s="180"/>
      <c r="I26" s="217"/>
      <c r="J26" s="180"/>
      <c r="K26" s="180"/>
      <c r="L26" s="180" t="str">
        <f>IF(I26=1,AE27,IF(I26=2,"kN",""))</f>
        <v/>
      </c>
      <c r="M26" s="180"/>
      <c r="N26" s="183"/>
      <c r="O26" s="218">
        <v>3000</v>
      </c>
      <c r="P26" s="219" t="str">
        <f>IF(AND(K3=1,L2=3000),2840,"")</f>
        <v/>
      </c>
      <c r="Q26" s="220" t="str">
        <f>IF(AND(K3=2,L2=3000),3530,"")</f>
        <v/>
      </c>
      <c r="R26" s="221" t="str">
        <f>IF(AND(K3=3,L2=3000),3530,"")</f>
        <v/>
      </c>
      <c r="S26" s="222"/>
      <c r="T26" s="223"/>
      <c r="U26" s="224">
        <f t="shared" si="0"/>
        <v>3500</v>
      </c>
      <c r="V26" s="222">
        <v>250</v>
      </c>
      <c r="W26" s="222">
        <v>15300</v>
      </c>
      <c r="X26" s="222">
        <v>29060</v>
      </c>
      <c r="Y26" s="224">
        <v>39120</v>
      </c>
      <c r="Z26" s="225">
        <v>2.2795999999999998</v>
      </c>
      <c r="AA26" s="791"/>
      <c r="AB26" s="813"/>
      <c r="AC26" s="805"/>
      <c r="AD26" s="806"/>
      <c r="AE26" s="812"/>
      <c r="AF26" s="471">
        <v>24</v>
      </c>
      <c r="AG26" s="183"/>
    </row>
    <row r="27" spans="1:33" ht="20.100000000000001" customHeight="1" thickTop="1" x14ac:dyDescent="0.15">
      <c r="A27" s="180"/>
      <c r="B27" s="180"/>
      <c r="C27" s="817"/>
      <c r="D27" s="817"/>
      <c r="E27" s="189"/>
      <c r="F27" s="180"/>
      <c r="G27" s="180"/>
      <c r="H27" s="180"/>
      <c r="I27" s="217"/>
      <c r="J27" s="180"/>
      <c r="K27" s="180"/>
      <c r="L27" s="180" t="str">
        <f>IF(I27=1,AF27,IF(I27=2,"本",""))</f>
        <v/>
      </c>
      <c r="M27" s="180"/>
      <c r="N27" s="183"/>
      <c r="O27" s="466"/>
      <c r="P27" s="466"/>
      <c r="Q27" s="466"/>
      <c r="R27" s="466"/>
      <c r="S27" s="466"/>
      <c r="T27" s="466"/>
      <c r="U27" s="466">
        <f>IF(L2=250,U4,IF(L2=300,U5,IF(L2=350,U6,IF(L2=400,U7,IF(L2=450,U8,IF(L2=500,U9,IF(L2=600,U10,IF(L2=700,U11,""))))))))</f>
        <v>526</v>
      </c>
      <c r="V27" s="466">
        <f>IF(L2=250,V4,IF(L2=300,V5,IF(L2=350,V6,IF(L2=400,V7,IF(L2=450,V8,IF(L2=500,V9,IF(L2=600,V10,IF(L2=700,V11,""))))))))</f>
        <v>63</v>
      </c>
      <c r="W27" s="466">
        <f>IF(L2=250,W4,IF(L2=300,W5,IF(L2=350,W6,IF(L2=400,W7,IF(L2=450,W8,IF(L2=500,W9,IF(L2=600,W10,IF(L2=700,W11,""))))))))</f>
        <v>548</v>
      </c>
      <c r="X27" s="466">
        <f>IF(L2=250,X4,IF(L2=300,X5,IF(L2=350,X6,IF(L2=400,X7,IF(L2=450,X8,IF(L2=500,X9,IF(L2=600,X10,IF(L2=700,X11,""))))))))</f>
        <v>930</v>
      </c>
      <c r="Y27" s="466">
        <f>IF(L2=250,Y4,IF(L2=300,Y5,IF(L2=350,Y6,IF(L2=400,Y7,IF(L2=450,Y8,IF(L2=500,Y9,IF(L2=600,Y10,IF(L2=700,Y11,""))))))))</f>
        <v>1250</v>
      </c>
      <c r="Z27" s="466">
        <f>IF(L2=250,Z4,IF(L2=300,Z5,IF(L2=350,Z6,IF(L2=400,Z7,IF(L2=450,Z8,IF(L2=500,Z9,IF(L2=600,Z10,IF(L2=700,Z11,""))))))))</f>
        <v>7.2999999999999995E-2</v>
      </c>
      <c r="AA27" s="466" t="str">
        <f>IF(K3=4,"",IF(L2&lt;600,AA4,IF(L2&lt;800,AA10,IF(L2&lt;1100,AA12,IF(L2&lt;1650,AA15,AA19)))))</f>
        <v/>
      </c>
      <c r="AB27" s="466" t="str">
        <f>IF(K3=4,"",IF(L2&lt;800,AB4,IF(L2&lt;1350,AB12,IF(L2&lt;2000,AB17,IF(L2&lt;2400,AB21,IF(L2&lt;2800,AB23,AB25))))))</f>
        <v/>
      </c>
      <c r="AC27" s="466">
        <f>IF(AND(K3=4,L2&lt;350),AC4,IF(AND(K3=4,L2&lt;600),AC6,""))</f>
        <v>750</v>
      </c>
      <c r="AD27" s="466">
        <f>IF(K3=4,2,"")</f>
        <v>2</v>
      </c>
      <c r="AE27" s="466" t="str">
        <f>IF(AND(L2&gt;900,L2&lt;1350),AE14,IF(AND(L2&gt;1200,L2&lt;2400),AE17,IF(L2&gt;2200,AE23,"")))</f>
        <v/>
      </c>
      <c r="AF27" s="466" t="str">
        <f>IF(OR(L2=1000,L2=1100,L2=1350),AF14,IF(L2=1200,AF16,IF(OR(L2=1500,L2=1650),AF18,IF(OR(L2=1800,L2=2400),AF23,IF(L2=2000,AF21,IF(OR(L2=2200,L2=2600),AF24,IF(L2=2800,AF25,IF(L2=3000,AF26,""))))))))</f>
        <v/>
      </c>
      <c r="AG27" s="183"/>
    </row>
    <row r="28" spans="1:33" ht="20.100000000000001" customHeight="1" x14ac:dyDescent="0.15">
      <c r="A28" s="180"/>
      <c r="B28" s="180"/>
      <c r="C28" s="180"/>
      <c r="D28" s="180"/>
      <c r="E28" s="180"/>
      <c r="F28" s="180"/>
      <c r="G28" s="180"/>
      <c r="H28" s="180"/>
      <c r="I28" s="180"/>
      <c r="J28" s="180"/>
      <c r="K28" s="180"/>
      <c r="L28" s="180"/>
      <c r="M28" s="180"/>
      <c r="N28" s="183"/>
      <c r="O28" s="466"/>
      <c r="P28" s="466"/>
      <c r="Q28" s="466"/>
      <c r="R28" s="466"/>
      <c r="S28" s="466"/>
      <c r="T28" s="466"/>
      <c r="U28" s="466" t="str">
        <f>IF(L2=800,U12,IF(L2=900,U13,IF(L2=1000,U14,IF(L2=1100,U15,IF(L2=1200,U16,IF(L2=1350,U17,IF(L2=1500,U18,IF(L2=1650,U19,""))))))))</f>
        <v/>
      </c>
      <c r="V28" s="466" t="str">
        <f>IF(L2=800,V12,IF(L2=900,V13,IF(L2=1000,V14,IF(L2=1100,V15,IF(L2=1200,V16,IF(L2=1350,V17,IF(L2=1500,V18,IF(L2=1650,V19,""))))))))</f>
        <v/>
      </c>
      <c r="W28" s="466" t="str">
        <f>IF(L2=800,W12,IF(L2=900,W13,IF(L2=1000,W14,IF(L2=1100,W15,IF(L2=1200,W16,IF(L2=1350,W17,IF(L2=1500,W18,IF(L2=1650,W19,""))))))))</f>
        <v/>
      </c>
      <c r="X28" s="466" t="str">
        <f>IF(L2=800,X12,IF(L2=900,X13,IF(L2=1000,X14,IF(L2=1100,X15,IF(L2=1200,X16,IF(L2=1350,X17,IF(L2=1500,X18,IF(L2=1650,X19,""))))))))</f>
        <v/>
      </c>
      <c r="Y28" s="466" t="str">
        <f>IF(L2=800,Y12,IF(L2=900,Y13,IF(L2=1000,Y14,IF(L2=1100,Y15,IF(L2=1200,Y16,IF(L2=1350,Y17,IF(L2=1500,Y18,IF(L2=1650,Y19,""))))))))</f>
        <v/>
      </c>
      <c r="Z28" s="466" t="str">
        <f>IF(L2=800,Z12,IF(L2=900,Z13,IF(L2=1000,Z14,IF(L2=1100,Z15,IF(L2=1200,Z16,IF(L2=1350,Z17,IF(L2=1500,Z18,IF(L2=1650,Z19,""))))))))</f>
        <v/>
      </c>
      <c r="AA28" s="183"/>
      <c r="AB28" s="183"/>
      <c r="AC28" s="183"/>
      <c r="AD28" s="183"/>
      <c r="AE28" s="183"/>
      <c r="AF28" s="183"/>
      <c r="AG28" s="183"/>
    </row>
    <row r="29" spans="1:33" ht="20.100000000000001" customHeight="1" x14ac:dyDescent="0.15">
      <c r="A29" s="180"/>
      <c r="B29" s="180"/>
      <c r="C29" s="180"/>
      <c r="D29" s="180"/>
      <c r="E29" s="180"/>
      <c r="F29" s="180"/>
      <c r="G29" s="180"/>
      <c r="H29" s="180"/>
      <c r="I29" s="180"/>
      <c r="J29" s="180"/>
      <c r="K29" s="180"/>
      <c r="L29" s="180"/>
      <c r="M29" s="180"/>
      <c r="N29" s="183"/>
      <c r="O29" s="466"/>
      <c r="P29" s="466"/>
      <c r="Q29" s="466"/>
      <c r="R29" s="466" t="str">
        <f>IF(OR(K3&gt;3,K3&lt;3),"",IF(L2=2600,R24,IF(L2=2800,R25,IF(L2=3000,R26,""))))</f>
        <v/>
      </c>
      <c r="S29" s="466"/>
      <c r="T29" s="466"/>
      <c r="U29" s="466" t="str">
        <f>IF(L2=1800,U20,IF(L2=2000,U21,IF(L2=2200,U22,IF(L2=2400,U23,IF(L2=2600,U24,IF(L2=2850,U25,IF(L2=3000,U26,"")))))))</f>
        <v/>
      </c>
      <c r="V29" s="466" t="str">
        <f>IF(L2=1800,V20,IF(L2=2000,V21,IF(L2=2200,V22,IF(L2=2400,V23,IF(L2=2600,V24,IF(L2=2850,V25,IF(L2=3000,V26,"")))))))</f>
        <v/>
      </c>
      <c r="W29" s="466" t="str">
        <f>IF(L2=1800,W20,IF(L2=2000,W21,IF(L2=2200,W22,IF(L2=2400,W23,IF(L2=2600,W24,IF(L2=2850,W25,IF(L2=3000,W26,"")))))))</f>
        <v/>
      </c>
      <c r="X29" s="466" t="str">
        <f>IF(L2=1800,X20,IF(L2=2000,X21,IF(L2=2200,X22,IF(L2=2400,X23,IF(L2=2600,X24,IF(L2=2850,X25,IF(L2=3000,X26,"")))))))</f>
        <v/>
      </c>
      <c r="Y29" s="466" t="str">
        <f>IF(L2=1800,Y20,IF(L2=2000,Y21,IF(L2=2200,Y22,IF(L2=2400,Y23,IF(L2=2600,Y24,IF(L2=2850,Y25,IF(L2=3000,Y26,"")))))))</f>
        <v/>
      </c>
      <c r="Z29" s="466" t="str">
        <f>IF(L2=1800,Z20,IF(L2=2000,Z21,IF(L2=2200,Z22,IF(L2=2400,Z23,IF(L2=2600,Z24,IF(L2=2850,Z25,IF(L2=3000,Z26,"")))))))</f>
        <v/>
      </c>
      <c r="AA29" s="183"/>
      <c r="AB29" s="183"/>
      <c r="AC29" s="183"/>
      <c r="AD29" s="183"/>
      <c r="AE29" s="183"/>
      <c r="AF29" s="183"/>
      <c r="AG29" s="183"/>
    </row>
    <row r="30" spans="1:33" ht="20.100000000000001" customHeight="1" x14ac:dyDescent="0.15">
      <c r="A30" s="180"/>
      <c r="B30" s="180"/>
      <c r="C30" s="180"/>
      <c r="D30" s="180"/>
      <c r="E30" s="180"/>
      <c r="F30" s="180"/>
      <c r="G30" s="180"/>
      <c r="H30" s="180"/>
      <c r="I30" s="180"/>
      <c r="J30" s="180"/>
      <c r="K30" s="180"/>
      <c r="L30" s="180"/>
      <c r="M30" s="180"/>
      <c r="N30" s="183"/>
      <c r="O30" s="183"/>
      <c r="P30" s="183"/>
      <c r="Q30" s="183"/>
      <c r="R30" s="183"/>
      <c r="S30" s="183"/>
      <c r="T30" s="183"/>
      <c r="U30" s="183"/>
      <c r="V30" s="183"/>
      <c r="W30" s="183"/>
      <c r="X30" s="183"/>
      <c r="Y30" s="183"/>
      <c r="Z30" s="183"/>
      <c r="AA30" s="183"/>
      <c r="AB30" s="183"/>
      <c r="AC30" s="183"/>
      <c r="AD30" s="183"/>
      <c r="AE30" s="183"/>
      <c r="AF30" s="183"/>
      <c r="AG30" s="183"/>
    </row>
    <row r="31" spans="1:33" ht="20.100000000000001" customHeight="1" x14ac:dyDescent="0.15">
      <c r="A31" s="180"/>
      <c r="B31" s="180"/>
      <c r="C31" s="180"/>
      <c r="D31" s="180"/>
      <c r="E31" s="180"/>
      <c r="F31" s="180"/>
      <c r="G31" s="180"/>
      <c r="H31" s="180"/>
      <c r="I31" s="180"/>
      <c r="J31" s="180"/>
      <c r="K31" s="180"/>
      <c r="L31" s="180"/>
      <c r="M31" s="180"/>
      <c r="N31" s="183"/>
      <c r="O31" s="183"/>
      <c r="P31" s="183"/>
      <c r="Q31" s="183"/>
      <c r="R31" s="183"/>
      <c r="S31" s="183"/>
      <c r="T31" s="183"/>
      <c r="U31" s="183"/>
      <c r="V31" s="183"/>
      <c r="W31" s="183"/>
      <c r="X31" s="183"/>
      <c r="Y31" s="183"/>
      <c r="Z31" s="183"/>
      <c r="AA31" s="183"/>
      <c r="AB31" s="183"/>
      <c r="AC31" s="183"/>
      <c r="AD31" s="183"/>
      <c r="AE31" s="183"/>
      <c r="AF31" s="183"/>
      <c r="AG31" s="183"/>
    </row>
    <row r="32" spans="1:33" ht="20.100000000000001" customHeight="1" x14ac:dyDescent="0.15">
      <c r="A32" s="180"/>
      <c r="B32" s="180"/>
      <c r="C32" s="180"/>
      <c r="D32" s="180"/>
      <c r="E32" s="180"/>
      <c r="F32" s="180"/>
      <c r="G32" s="180"/>
      <c r="H32" s="180"/>
      <c r="I32" s="180"/>
      <c r="J32" s="180"/>
      <c r="K32" s="180"/>
      <c r="L32" s="180"/>
      <c r="M32" s="180"/>
      <c r="N32" s="183"/>
      <c r="O32" s="183"/>
      <c r="P32" s="183"/>
      <c r="Q32" s="183"/>
      <c r="R32" s="183"/>
      <c r="S32" s="183"/>
      <c r="T32" s="183"/>
      <c r="U32" s="183"/>
      <c r="V32" s="183"/>
      <c r="W32" s="183"/>
      <c r="X32" s="183"/>
      <c r="Y32" s="183"/>
      <c r="Z32" s="183"/>
      <c r="AA32" s="183"/>
      <c r="AB32" s="183"/>
      <c r="AC32" s="183"/>
      <c r="AD32" s="183"/>
      <c r="AE32" s="183"/>
      <c r="AF32" s="183"/>
      <c r="AG32" s="183"/>
    </row>
    <row r="33" spans="1:33" ht="20.100000000000001" customHeight="1" x14ac:dyDescent="0.15">
      <c r="A33" s="180"/>
      <c r="B33" s="180"/>
      <c r="C33" s="180"/>
      <c r="D33" s="180"/>
      <c r="E33" s="180"/>
      <c r="F33" s="180"/>
      <c r="G33" s="180"/>
      <c r="H33" s="180"/>
      <c r="I33" s="180"/>
      <c r="J33" s="180"/>
      <c r="K33" s="180"/>
      <c r="L33" s="180"/>
      <c r="M33" s="180"/>
      <c r="N33" s="183"/>
      <c r="O33" s="183"/>
      <c r="P33" s="183"/>
      <c r="Q33" s="183"/>
      <c r="R33" s="183"/>
      <c r="S33" s="183"/>
      <c r="T33" s="183"/>
      <c r="U33" s="183"/>
      <c r="V33" s="183"/>
      <c r="W33" s="183"/>
      <c r="X33" s="183"/>
      <c r="Y33" s="183"/>
      <c r="Z33" s="183"/>
      <c r="AA33" s="183"/>
      <c r="AB33" s="183"/>
      <c r="AC33" s="183"/>
      <c r="AD33" s="183"/>
      <c r="AE33" s="183"/>
      <c r="AF33" s="183"/>
      <c r="AG33" s="183"/>
    </row>
    <row r="34" spans="1:33" ht="20.100000000000001" customHeight="1" x14ac:dyDescent="0.15">
      <c r="A34" s="180"/>
      <c r="B34" s="180"/>
      <c r="C34" s="180"/>
      <c r="D34" s="180"/>
      <c r="E34" s="180"/>
      <c r="F34" s="180"/>
      <c r="G34" s="180"/>
      <c r="H34" s="180"/>
      <c r="I34" s="180"/>
      <c r="J34" s="180"/>
      <c r="K34" s="180"/>
      <c r="L34" s="180"/>
      <c r="M34" s="180"/>
      <c r="N34" s="183"/>
      <c r="O34" s="183"/>
      <c r="P34" s="183"/>
      <c r="Q34" s="183"/>
      <c r="R34" s="183"/>
      <c r="S34" s="183"/>
      <c r="T34" s="183"/>
      <c r="U34" s="183"/>
      <c r="V34" s="183"/>
      <c r="W34" s="183"/>
      <c r="X34" s="183"/>
      <c r="Y34" s="183"/>
      <c r="Z34" s="183"/>
      <c r="AA34" s="183"/>
      <c r="AB34" s="183"/>
      <c r="AC34" s="183"/>
      <c r="AD34" s="183"/>
      <c r="AE34" s="183"/>
      <c r="AF34" s="183"/>
      <c r="AG34" s="183"/>
    </row>
    <row r="35" spans="1:33" ht="20.100000000000001" customHeight="1" x14ac:dyDescent="0.15">
      <c r="A35" s="180"/>
      <c r="B35" s="180"/>
      <c r="C35" s="180"/>
      <c r="D35" s="180"/>
      <c r="E35" s="180"/>
      <c r="F35" s="180"/>
      <c r="G35" s="180"/>
      <c r="H35" s="180"/>
      <c r="I35" s="180"/>
      <c r="J35" s="180"/>
      <c r="K35" s="180"/>
      <c r="L35" s="180"/>
      <c r="M35" s="180"/>
      <c r="N35" s="183"/>
      <c r="O35" s="183"/>
      <c r="P35" s="183"/>
      <c r="Q35" s="183"/>
      <c r="R35" s="183"/>
      <c r="S35" s="183"/>
      <c r="T35" s="183"/>
      <c r="U35" s="183"/>
      <c r="V35" s="183"/>
      <c r="W35" s="183"/>
      <c r="X35" s="183"/>
      <c r="Y35" s="183"/>
      <c r="Z35" s="183"/>
      <c r="AA35" s="183"/>
      <c r="AB35" s="183"/>
      <c r="AC35" s="183"/>
      <c r="AD35" s="183"/>
      <c r="AE35" s="183"/>
      <c r="AF35" s="183"/>
      <c r="AG35" s="183"/>
    </row>
    <row r="36" spans="1:33" ht="20.100000000000001" customHeight="1" x14ac:dyDescent="0.15">
      <c r="A36" s="180"/>
      <c r="B36" s="180"/>
      <c r="C36" s="180"/>
      <c r="D36" s="180"/>
      <c r="E36" s="180"/>
      <c r="F36" s="180"/>
      <c r="G36" s="180"/>
      <c r="H36" s="180"/>
      <c r="I36" s="180"/>
      <c r="J36" s="180"/>
      <c r="K36" s="180"/>
      <c r="L36" s="180"/>
      <c r="M36" s="180"/>
      <c r="N36" s="183"/>
      <c r="O36" s="183"/>
      <c r="P36" s="183"/>
      <c r="Q36" s="183"/>
      <c r="R36" s="183"/>
      <c r="S36" s="183"/>
      <c r="T36" s="183"/>
      <c r="U36" s="183"/>
      <c r="V36" s="183"/>
      <c r="W36" s="183"/>
      <c r="X36" s="183"/>
      <c r="Y36" s="183"/>
      <c r="Z36" s="183"/>
      <c r="AA36" s="183"/>
      <c r="AB36" s="183"/>
      <c r="AC36" s="183"/>
      <c r="AD36" s="183"/>
      <c r="AE36" s="183"/>
      <c r="AF36" s="183"/>
      <c r="AG36" s="183"/>
    </row>
    <row r="37" spans="1:33" ht="20.100000000000001" customHeight="1" x14ac:dyDescent="0.15">
      <c r="A37" s="180"/>
      <c r="B37" s="180"/>
      <c r="C37" s="180"/>
      <c r="D37" s="180"/>
      <c r="E37" s="180"/>
      <c r="F37" s="180"/>
      <c r="G37" s="180"/>
      <c r="H37" s="180"/>
      <c r="I37" s="180"/>
      <c r="J37" s="180"/>
      <c r="K37" s="180"/>
      <c r="L37" s="180"/>
      <c r="M37" s="180"/>
      <c r="N37" s="183"/>
      <c r="O37" s="183"/>
      <c r="P37" s="183"/>
      <c r="Q37" s="183"/>
      <c r="R37" s="183"/>
      <c r="S37" s="183"/>
      <c r="T37" s="183"/>
      <c r="U37" s="183"/>
      <c r="V37" s="183"/>
      <c r="W37" s="183"/>
      <c r="X37" s="183"/>
      <c r="Y37" s="183"/>
      <c r="Z37" s="183"/>
      <c r="AA37" s="183"/>
      <c r="AB37" s="183"/>
      <c r="AC37" s="183"/>
      <c r="AD37" s="183"/>
      <c r="AE37" s="183"/>
      <c r="AF37" s="183"/>
      <c r="AG37" s="183"/>
    </row>
    <row r="38" spans="1:33" ht="20.100000000000001" customHeight="1" x14ac:dyDescent="0.15">
      <c r="A38" s="180"/>
      <c r="B38" s="180"/>
      <c r="C38" s="180"/>
      <c r="D38" s="180"/>
      <c r="E38" s="180"/>
      <c r="F38" s="180"/>
      <c r="G38" s="180"/>
      <c r="H38" s="180"/>
      <c r="I38" s="180"/>
      <c r="J38" s="180"/>
      <c r="K38" s="180"/>
      <c r="L38" s="180"/>
      <c r="M38" s="180"/>
      <c r="N38" s="183"/>
      <c r="O38" s="183"/>
      <c r="P38" s="183"/>
      <c r="Q38" s="183"/>
      <c r="R38" s="183"/>
      <c r="S38" s="183"/>
      <c r="T38" s="183"/>
      <c r="U38" s="183"/>
      <c r="V38" s="183"/>
      <c r="W38" s="183"/>
      <c r="X38" s="183"/>
      <c r="Y38" s="183"/>
      <c r="Z38" s="183"/>
      <c r="AA38" s="183"/>
      <c r="AB38" s="183"/>
      <c r="AC38" s="183"/>
      <c r="AD38" s="183"/>
      <c r="AE38" s="183"/>
      <c r="AF38" s="183"/>
      <c r="AG38" s="183"/>
    </row>
    <row r="39" spans="1:33" ht="12.75" customHeight="1" x14ac:dyDescent="0.15">
      <c r="A39" s="183"/>
      <c r="B39" s="183"/>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row>
    <row r="40" spans="1:33" ht="20.100000000000001" customHeight="1" x14ac:dyDescent="0.15">
      <c r="A40" s="183"/>
      <c r="B40" s="183"/>
      <c r="C40" s="183"/>
      <c r="D40" s="183"/>
      <c r="E40" s="183"/>
      <c r="F40" s="183"/>
      <c r="G40" s="183"/>
      <c r="H40" s="183"/>
      <c r="I40" s="183"/>
      <c r="J40" s="183"/>
      <c r="K40" s="183"/>
      <c r="L40" s="794">
        <f ca="1">TODAY()</f>
        <v>45805</v>
      </c>
      <c r="M40" s="794"/>
      <c r="N40" s="183"/>
      <c r="O40" s="183"/>
      <c r="P40" s="183"/>
      <c r="Q40" s="183"/>
      <c r="R40" s="183"/>
      <c r="S40" s="183"/>
      <c r="T40" s="183"/>
      <c r="U40" s="183"/>
      <c r="V40" s="183"/>
      <c r="W40" s="183"/>
      <c r="X40" s="183"/>
      <c r="Y40" s="183"/>
      <c r="Z40" s="183"/>
      <c r="AA40" s="183"/>
      <c r="AB40" s="183"/>
      <c r="AC40" s="183"/>
      <c r="AD40" s="183"/>
      <c r="AE40" s="183"/>
      <c r="AF40" s="183"/>
      <c r="AG40" s="183"/>
    </row>
    <row r="41" spans="1:33" ht="23.25" customHeight="1" x14ac:dyDescent="0.15">
      <c r="A41" s="793" t="s">
        <v>1221</v>
      </c>
      <c r="B41" s="793"/>
      <c r="C41" s="793"/>
      <c r="D41" s="793"/>
      <c r="E41" s="793"/>
      <c r="F41" s="793"/>
      <c r="G41" s="793"/>
      <c r="H41" s="793"/>
      <c r="I41" s="793"/>
      <c r="J41" s="793"/>
      <c r="K41" s="793"/>
      <c r="L41" s="793"/>
      <c r="M41" s="793"/>
      <c r="N41" s="183"/>
      <c r="O41" s="183"/>
      <c r="P41" s="183"/>
      <c r="Q41" s="183"/>
      <c r="R41" s="183"/>
      <c r="S41" s="183"/>
      <c r="T41" s="183"/>
      <c r="U41" s="183"/>
      <c r="V41" s="183"/>
      <c r="W41" s="183"/>
      <c r="X41" s="183"/>
      <c r="Y41" s="183"/>
      <c r="Z41" s="183"/>
      <c r="AA41" s="183"/>
      <c r="AB41" s="183"/>
      <c r="AC41" s="183"/>
      <c r="AD41" s="183"/>
      <c r="AE41" s="183"/>
      <c r="AF41" s="183"/>
      <c r="AG41" s="183"/>
    </row>
    <row r="42" spans="1:33" ht="28.5" customHeight="1" x14ac:dyDescent="0.15">
      <c r="A42" s="819" t="s">
        <v>1222</v>
      </c>
      <c r="B42" s="819"/>
      <c r="C42" s="819"/>
      <c r="D42" s="819"/>
      <c r="E42" s="819"/>
      <c r="F42" s="819"/>
      <c r="G42" s="819"/>
      <c r="H42" s="819"/>
      <c r="I42" s="819"/>
      <c r="J42" s="819"/>
      <c r="K42" s="819"/>
      <c r="L42" s="819"/>
      <c r="M42" s="819"/>
      <c r="N42" s="183"/>
      <c r="O42" s="183"/>
      <c r="P42" s="183"/>
      <c r="Q42" s="183"/>
      <c r="R42" s="183"/>
      <c r="S42" s="183"/>
      <c r="T42" s="183"/>
      <c r="U42" s="183"/>
      <c r="V42" s="183"/>
      <c r="W42" s="183"/>
      <c r="X42" s="183"/>
      <c r="Y42" s="183"/>
      <c r="Z42" s="183"/>
      <c r="AA42" s="183"/>
      <c r="AB42" s="183"/>
      <c r="AC42" s="183"/>
      <c r="AD42" s="183"/>
      <c r="AE42" s="183"/>
      <c r="AF42" s="183"/>
      <c r="AG42" s="183"/>
    </row>
    <row r="43" spans="1:33" ht="28.5" customHeight="1" x14ac:dyDescent="0.15">
      <c r="A43" s="183"/>
      <c r="B43" s="183"/>
      <c r="C43" s="466"/>
      <c r="D43" s="469"/>
      <c r="E43" s="466"/>
      <c r="F43" s="466"/>
      <c r="G43" s="466"/>
      <c r="H43" s="466"/>
      <c r="I43" s="466"/>
      <c r="J43" s="466"/>
      <c r="K43" s="466"/>
      <c r="L43" s="466"/>
      <c r="M43" s="466"/>
      <c r="N43" s="183"/>
      <c r="O43" s="183"/>
      <c r="P43" s="183"/>
      <c r="Q43" s="183"/>
      <c r="R43" s="183"/>
      <c r="S43" s="183"/>
      <c r="T43" s="183"/>
      <c r="U43" s="183"/>
      <c r="V43" s="183"/>
      <c r="W43" s="183"/>
      <c r="X43" s="183"/>
      <c r="Y43" s="183"/>
      <c r="Z43" s="183"/>
      <c r="AA43" s="183"/>
      <c r="AB43" s="183"/>
      <c r="AC43" s="183"/>
      <c r="AD43" s="183"/>
      <c r="AE43" s="183"/>
      <c r="AF43" s="183"/>
      <c r="AG43" s="183"/>
    </row>
    <row r="44" spans="1:33" ht="20.100000000000001" customHeight="1" x14ac:dyDescent="0.15">
      <c r="A44" s="183"/>
      <c r="B44" s="183"/>
      <c r="C44" s="469"/>
      <c r="D44" s="469"/>
      <c r="E44" s="469"/>
      <c r="F44" s="469"/>
      <c r="G44" s="469"/>
      <c r="H44" s="469"/>
      <c r="I44" s="469"/>
      <c r="J44" s="469"/>
      <c r="K44" s="469"/>
      <c r="L44" s="469"/>
      <c r="M44" s="469"/>
      <c r="N44" s="183"/>
      <c r="O44" s="183"/>
      <c r="P44" s="183"/>
      <c r="Q44" s="183"/>
      <c r="R44" s="183"/>
      <c r="S44" s="183"/>
      <c r="T44" s="183"/>
      <c r="U44" s="183"/>
      <c r="V44" s="183"/>
      <c r="W44" s="183"/>
      <c r="X44" s="183"/>
      <c r="Y44" s="183"/>
      <c r="Z44" s="183"/>
      <c r="AA44" s="183"/>
      <c r="AB44" s="183"/>
      <c r="AC44" s="183"/>
      <c r="AD44" s="183"/>
      <c r="AE44" s="183"/>
      <c r="AF44" s="183"/>
      <c r="AG44" s="183"/>
    </row>
    <row r="45" spans="1:33" ht="21" customHeight="1" x14ac:dyDescent="0.15">
      <c r="A45" s="226"/>
      <c r="B45" s="183"/>
      <c r="C45" s="227"/>
      <c r="D45" s="227"/>
      <c r="E45" s="227"/>
      <c r="F45" s="227"/>
      <c r="G45" s="227"/>
      <c r="H45" s="227"/>
      <c r="I45" s="227"/>
      <c r="J45" s="227"/>
      <c r="K45" s="227"/>
      <c r="L45" s="227"/>
      <c r="M45" s="227"/>
      <c r="N45" s="183"/>
      <c r="O45" s="183"/>
      <c r="P45" s="183"/>
      <c r="Q45" s="183"/>
      <c r="R45" s="183"/>
      <c r="S45" s="183"/>
      <c r="T45" s="183"/>
      <c r="U45" s="183"/>
      <c r="V45" s="183"/>
      <c r="W45" s="183"/>
      <c r="X45" s="183"/>
      <c r="Y45" s="183"/>
      <c r="Z45" s="183"/>
      <c r="AA45" s="183"/>
      <c r="AB45" s="183"/>
      <c r="AC45" s="183"/>
      <c r="AD45" s="183"/>
      <c r="AE45" s="183"/>
      <c r="AF45" s="183"/>
      <c r="AG45" s="183"/>
    </row>
    <row r="46" spans="1:33" ht="30" customHeight="1" x14ac:dyDescent="0.15">
      <c r="A46" s="183"/>
      <c r="B46" s="183"/>
      <c r="C46" s="183"/>
      <c r="D46" s="468" t="s">
        <v>1223</v>
      </c>
      <c r="E46" s="183" t="s">
        <v>1224</v>
      </c>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row>
    <row r="47" spans="1:33" ht="37.5" customHeight="1" x14ac:dyDescent="0.15">
      <c r="A47" s="183"/>
      <c r="B47" s="183"/>
      <c r="C47" s="183"/>
      <c r="D47" s="468" t="s">
        <v>1225</v>
      </c>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row>
    <row r="48" spans="1:33" ht="27.75" customHeight="1" x14ac:dyDescent="0.15">
      <c r="A48" s="183"/>
      <c r="B48" s="183"/>
      <c r="C48" s="183"/>
      <c r="D48" s="468"/>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row>
    <row r="49" spans="1:33" ht="24.75" customHeight="1" x14ac:dyDescent="0.15">
      <c r="A49" s="183"/>
      <c r="B49" s="183"/>
      <c r="C49" s="183"/>
      <c r="D49" s="468"/>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row>
    <row r="50" spans="1:33" ht="24" customHeight="1" x14ac:dyDescent="0.15">
      <c r="A50" s="183"/>
      <c r="B50" s="183"/>
      <c r="C50" s="183"/>
      <c r="D50" s="468"/>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row>
    <row r="51" spans="1:33" ht="20.100000000000001" customHeight="1" x14ac:dyDescent="0.15">
      <c r="A51" s="226"/>
      <c r="B51" s="183"/>
      <c r="C51" s="228"/>
      <c r="D51" s="468" t="s">
        <v>1226</v>
      </c>
      <c r="E51" s="468" t="s">
        <v>1227</v>
      </c>
      <c r="F51" s="183" t="s">
        <v>1228</v>
      </c>
      <c r="G51" s="183"/>
      <c r="H51" s="183"/>
      <c r="I51" s="183"/>
      <c r="J51" s="183"/>
      <c r="K51" s="183" t="s">
        <v>1229</v>
      </c>
      <c r="L51" s="183"/>
      <c r="M51" s="226"/>
      <c r="N51" s="183"/>
      <c r="O51" s="183"/>
      <c r="P51" s="183"/>
      <c r="Q51" s="183"/>
      <c r="R51" s="183"/>
      <c r="S51" s="183"/>
      <c r="T51" s="183"/>
      <c r="U51" s="183"/>
      <c r="V51" s="183"/>
      <c r="W51" s="183"/>
      <c r="X51" s="183"/>
      <c r="Y51" s="183"/>
      <c r="Z51" s="183"/>
      <c r="AA51" s="183"/>
      <c r="AB51" s="183"/>
      <c r="AC51" s="183"/>
      <c r="AD51" s="183"/>
      <c r="AE51" s="183"/>
      <c r="AF51" s="183"/>
      <c r="AG51" s="183"/>
    </row>
    <row r="52" spans="1:33" ht="20.100000000000001" customHeight="1" x14ac:dyDescent="0.15">
      <c r="A52" s="226"/>
      <c r="B52" s="226"/>
      <c r="C52" s="226"/>
      <c r="D52" s="183"/>
      <c r="E52" s="468" t="s">
        <v>1230</v>
      </c>
      <c r="F52" s="183" t="s">
        <v>1231</v>
      </c>
      <c r="G52" s="183"/>
      <c r="H52" s="183"/>
      <c r="I52" s="183"/>
      <c r="J52" s="183"/>
      <c r="K52" s="183" t="s">
        <v>1229</v>
      </c>
      <c r="L52" s="183"/>
      <c r="M52" s="226"/>
      <c r="N52" s="183"/>
      <c r="O52" s="183"/>
      <c r="P52" s="183"/>
      <c r="Q52" s="183"/>
      <c r="R52" s="183"/>
      <c r="S52" s="183"/>
      <c r="T52" s="183"/>
      <c r="U52" s="183"/>
      <c r="V52" s="183"/>
      <c r="W52" s="183"/>
      <c r="X52" s="183"/>
      <c r="Y52" s="183"/>
      <c r="Z52" s="183"/>
      <c r="AA52" s="183"/>
      <c r="AB52" s="183"/>
      <c r="AC52" s="183"/>
      <c r="AD52" s="183"/>
      <c r="AE52" s="183"/>
      <c r="AF52" s="183"/>
      <c r="AG52" s="183"/>
    </row>
    <row r="53" spans="1:33" ht="20.100000000000001" customHeight="1" x14ac:dyDescent="0.15">
      <c r="A53" s="226"/>
      <c r="B53" s="226"/>
      <c r="C53" s="226"/>
      <c r="D53" s="183"/>
      <c r="E53" s="468" t="s">
        <v>1232</v>
      </c>
      <c r="F53" s="183" t="s">
        <v>1233</v>
      </c>
      <c r="G53" s="183"/>
      <c r="H53" s="183"/>
      <c r="I53" s="183"/>
      <c r="J53" s="183"/>
      <c r="K53" s="183" t="s">
        <v>1234</v>
      </c>
      <c r="L53" s="183"/>
      <c r="M53" s="226"/>
      <c r="N53" s="183"/>
      <c r="O53" s="183"/>
      <c r="P53" s="183"/>
      <c r="Q53" s="183"/>
      <c r="R53" s="183"/>
      <c r="S53" s="183"/>
      <c r="T53" s="183"/>
      <c r="U53" s="183"/>
      <c r="V53" s="183"/>
      <c r="W53" s="183"/>
      <c r="X53" s="183"/>
      <c r="Y53" s="183"/>
      <c r="Z53" s="183"/>
      <c r="AA53" s="183"/>
      <c r="AB53" s="183"/>
      <c r="AC53" s="183"/>
      <c r="AD53" s="183"/>
      <c r="AE53" s="183"/>
      <c r="AF53" s="183"/>
      <c r="AG53" s="183"/>
    </row>
    <row r="54" spans="1:33" ht="20.100000000000001" customHeight="1" x14ac:dyDescent="0.15">
      <c r="A54" s="226"/>
      <c r="B54" s="226"/>
      <c r="C54" s="226"/>
      <c r="D54" s="183"/>
      <c r="E54" s="468" t="s">
        <v>1235</v>
      </c>
      <c r="F54" s="183" t="s">
        <v>684</v>
      </c>
      <c r="G54" s="183"/>
      <c r="H54" s="183"/>
      <c r="I54" s="183"/>
      <c r="J54" s="183"/>
      <c r="K54" s="183" t="s">
        <v>137</v>
      </c>
      <c r="L54" s="183"/>
      <c r="M54" s="226"/>
      <c r="N54" s="183"/>
      <c r="O54" s="183"/>
      <c r="P54" s="183"/>
      <c r="Q54" s="183"/>
      <c r="R54" s="183"/>
      <c r="S54" s="183"/>
      <c r="T54" s="183"/>
      <c r="U54" s="183"/>
      <c r="V54" s="183"/>
      <c r="W54" s="183"/>
      <c r="X54" s="183"/>
      <c r="Y54" s="183"/>
      <c r="Z54" s="183"/>
      <c r="AA54" s="183"/>
      <c r="AB54" s="183"/>
      <c r="AC54" s="183"/>
      <c r="AD54" s="183"/>
      <c r="AE54" s="183"/>
      <c r="AF54" s="183"/>
      <c r="AG54" s="183"/>
    </row>
    <row r="55" spans="1:33" ht="20.100000000000001" customHeight="1" x14ac:dyDescent="0.15">
      <c r="A55" s="226"/>
      <c r="B55" s="226"/>
      <c r="C55" s="228"/>
      <c r="D55" s="468"/>
      <c r="E55" s="468" t="s">
        <v>1236</v>
      </c>
      <c r="F55" s="469" t="s">
        <v>1183</v>
      </c>
      <c r="G55" s="229"/>
      <c r="H55" s="229"/>
      <c r="I55" s="183"/>
      <c r="J55" s="183"/>
      <c r="K55" s="183" t="s">
        <v>317</v>
      </c>
      <c r="L55" s="183"/>
      <c r="M55" s="226"/>
      <c r="N55" s="183"/>
      <c r="O55" s="183"/>
      <c r="P55" s="183"/>
      <c r="Q55" s="183"/>
      <c r="R55" s="183"/>
      <c r="S55" s="183"/>
      <c r="T55" s="183"/>
      <c r="U55" s="183"/>
      <c r="V55" s="183"/>
      <c r="W55" s="183"/>
      <c r="X55" s="183"/>
      <c r="Y55" s="183"/>
      <c r="Z55" s="183"/>
      <c r="AA55" s="183"/>
      <c r="AB55" s="183"/>
      <c r="AC55" s="183"/>
      <c r="AD55" s="183"/>
      <c r="AE55" s="183"/>
      <c r="AF55" s="183"/>
      <c r="AG55" s="183"/>
    </row>
    <row r="56" spans="1:33" ht="20.100000000000001" customHeight="1" x14ac:dyDescent="0.15">
      <c r="A56" s="226"/>
      <c r="B56" s="226"/>
      <c r="C56" s="228"/>
      <c r="D56" s="183"/>
      <c r="E56" s="468" t="s">
        <v>1237</v>
      </c>
      <c r="F56" s="469" t="s">
        <v>279</v>
      </c>
      <c r="G56" s="229"/>
      <c r="H56" s="229"/>
      <c r="I56" s="229"/>
      <c r="J56" s="183"/>
      <c r="K56" s="183" t="s">
        <v>317</v>
      </c>
      <c r="L56" s="183"/>
      <c r="M56" s="226"/>
      <c r="N56" s="183"/>
      <c r="O56" s="183"/>
      <c r="P56" s="183"/>
      <c r="Q56" s="183"/>
      <c r="R56" s="183"/>
      <c r="S56" s="183"/>
      <c r="T56" s="183"/>
      <c r="U56" s="183"/>
      <c r="V56" s="183"/>
      <c r="W56" s="183"/>
      <c r="X56" s="183"/>
      <c r="Y56" s="183"/>
      <c r="Z56" s="183"/>
      <c r="AA56" s="183"/>
      <c r="AB56" s="183"/>
      <c r="AC56" s="183"/>
      <c r="AD56" s="183"/>
      <c r="AE56" s="183"/>
      <c r="AF56" s="183"/>
      <c r="AG56" s="183"/>
    </row>
    <row r="57" spans="1:33" ht="20.100000000000001" customHeight="1" x14ac:dyDescent="0.15">
      <c r="A57" s="183"/>
      <c r="B57" s="183"/>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row>
    <row r="58" spans="1:33" ht="20.100000000000001" customHeight="1" x14ac:dyDescent="0.15">
      <c r="A58" s="183"/>
      <c r="B58" s="183"/>
      <c r="C58" s="777"/>
      <c r="D58" s="778"/>
      <c r="E58" s="779"/>
      <c r="F58" s="777" t="s">
        <v>1238</v>
      </c>
      <c r="G58" s="779"/>
      <c r="H58" s="777" t="s">
        <v>165</v>
      </c>
      <c r="I58" s="779"/>
      <c r="J58" s="777" t="s">
        <v>1239</v>
      </c>
      <c r="K58" s="779"/>
      <c r="L58" s="183"/>
      <c r="M58" s="183"/>
      <c r="N58" s="183"/>
      <c r="O58" s="183"/>
      <c r="P58" s="183"/>
      <c r="Q58" s="183"/>
      <c r="R58" s="183"/>
      <c r="S58" s="183"/>
      <c r="T58" s="183"/>
      <c r="U58" s="183"/>
      <c r="V58" s="183"/>
      <c r="W58" s="183"/>
      <c r="X58" s="183"/>
      <c r="Y58" s="183"/>
      <c r="Z58" s="183"/>
      <c r="AA58" s="183"/>
      <c r="AB58" s="183"/>
      <c r="AC58" s="183"/>
      <c r="AD58" s="183"/>
      <c r="AE58" s="183"/>
      <c r="AF58" s="183"/>
      <c r="AG58" s="183"/>
    </row>
    <row r="59" spans="1:33" ht="20.100000000000001" customHeight="1" x14ac:dyDescent="0.15">
      <c r="A59" s="183"/>
      <c r="B59" s="183"/>
      <c r="C59" s="777" t="s">
        <v>1240</v>
      </c>
      <c r="D59" s="778"/>
      <c r="E59" s="779"/>
      <c r="F59" s="777">
        <v>1750</v>
      </c>
      <c r="G59" s="779"/>
      <c r="H59" s="777">
        <v>1500</v>
      </c>
      <c r="I59" s="779"/>
      <c r="J59" s="777">
        <v>1200</v>
      </c>
      <c r="K59" s="779"/>
      <c r="L59" s="183"/>
      <c r="M59" s="183"/>
      <c r="N59" s="183"/>
      <c r="O59" s="183"/>
      <c r="P59" s="183"/>
      <c r="Q59" s="183"/>
      <c r="R59" s="183"/>
      <c r="S59" s="183"/>
      <c r="T59" s="183"/>
      <c r="U59" s="183"/>
      <c r="V59" s="183"/>
      <c r="W59" s="183"/>
      <c r="X59" s="183"/>
      <c r="Y59" s="183"/>
      <c r="Z59" s="183"/>
      <c r="AA59" s="183"/>
      <c r="AB59" s="183"/>
      <c r="AC59" s="183"/>
      <c r="AD59" s="183"/>
      <c r="AE59" s="183"/>
      <c r="AF59" s="183"/>
      <c r="AG59" s="183"/>
    </row>
    <row r="60" spans="1:33" ht="20.100000000000001" customHeight="1" x14ac:dyDescent="0.15">
      <c r="A60" s="183"/>
      <c r="B60" s="183"/>
      <c r="C60" s="777" t="s">
        <v>1241</v>
      </c>
      <c r="D60" s="778"/>
      <c r="E60" s="779"/>
      <c r="F60" s="777">
        <v>4.5</v>
      </c>
      <c r="G60" s="779"/>
      <c r="H60" s="777">
        <v>2.5</v>
      </c>
      <c r="I60" s="779"/>
      <c r="J60" s="777">
        <v>3</v>
      </c>
      <c r="K60" s="779"/>
      <c r="L60" s="183"/>
      <c r="M60" s="183"/>
      <c r="N60" s="183"/>
      <c r="O60" s="183"/>
      <c r="P60" s="183"/>
      <c r="Q60" s="183"/>
      <c r="R60" s="183"/>
      <c r="S60" s="183"/>
      <c r="T60" s="183"/>
      <c r="U60" s="183"/>
      <c r="V60" s="183"/>
      <c r="W60" s="183"/>
      <c r="X60" s="183"/>
      <c r="Y60" s="183"/>
      <c r="Z60" s="183"/>
      <c r="AA60" s="183"/>
      <c r="AB60" s="183"/>
      <c r="AC60" s="183"/>
      <c r="AD60" s="183"/>
      <c r="AE60" s="183"/>
      <c r="AF60" s="183"/>
      <c r="AG60" s="183"/>
    </row>
    <row r="61" spans="1:33" ht="20.100000000000001" customHeight="1" x14ac:dyDescent="0.15">
      <c r="A61" s="183"/>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row>
    <row r="62" spans="1:33" ht="20.100000000000001" customHeight="1" x14ac:dyDescent="0.15">
      <c r="A62" s="183"/>
      <c r="B62" s="183"/>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row>
    <row r="63" spans="1:33" ht="20.100000000000001" customHeight="1" x14ac:dyDescent="0.15">
      <c r="A63" s="226"/>
      <c r="B63" s="226"/>
      <c r="C63" s="226"/>
      <c r="D63" s="183"/>
      <c r="E63" s="183"/>
      <c r="F63" s="183"/>
      <c r="G63" s="183"/>
      <c r="H63" s="183"/>
      <c r="I63" s="183"/>
      <c r="J63" s="183"/>
      <c r="K63" s="183"/>
      <c r="L63" s="183"/>
      <c r="M63" s="226"/>
      <c r="N63" s="183"/>
      <c r="O63" s="183"/>
      <c r="P63" s="183"/>
      <c r="Q63" s="183"/>
      <c r="R63" s="183"/>
      <c r="S63" s="183"/>
      <c r="T63" s="183"/>
      <c r="U63" s="183"/>
      <c r="V63" s="183"/>
      <c r="W63" s="183"/>
      <c r="X63" s="183"/>
      <c r="Y63" s="183"/>
      <c r="Z63" s="183"/>
      <c r="AA63" s="183"/>
      <c r="AB63" s="183"/>
      <c r="AC63" s="183"/>
      <c r="AD63" s="183"/>
      <c r="AE63" s="183"/>
      <c r="AF63" s="183"/>
      <c r="AG63" s="183"/>
    </row>
    <row r="64" spans="1:33" ht="20.100000000000001" customHeight="1" x14ac:dyDescent="0.15">
      <c r="A64" s="183"/>
      <c r="B64" s="183"/>
      <c r="C64" s="183"/>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c r="AG64" s="183"/>
    </row>
    <row r="65" spans="1:33" ht="20.100000000000001" customHeight="1" x14ac:dyDescent="0.15">
      <c r="A65" s="183"/>
      <c r="B65" s="183"/>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row>
    <row r="66" spans="1:33" ht="20.100000000000001" customHeight="1" x14ac:dyDescent="0.15">
      <c r="A66" s="183"/>
      <c r="B66" s="183"/>
      <c r="C66" s="183"/>
      <c r="D66" s="183"/>
      <c r="E66" s="183"/>
      <c r="F66" s="183"/>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row>
    <row r="67" spans="1:33" ht="20.100000000000001" customHeight="1" x14ac:dyDescent="0.15">
      <c r="A67" s="226"/>
      <c r="B67" s="226"/>
      <c r="C67" s="226"/>
      <c r="D67" s="226"/>
      <c r="E67" s="226"/>
      <c r="F67" s="226"/>
      <c r="G67" s="226"/>
      <c r="H67" s="226"/>
      <c r="I67" s="226"/>
      <c r="J67" s="226"/>
      <c r="K67" s="226"/>
      <c r="L67" s="226"/>
      <c r="M67" s="226"/>
      <c r="N67" s="183"/>
      <c r="O67" s="183"/>
      <c r="P67" s="183"/>
      <c r="Q67" s="183"/>
      <c r="R67" s="183"/>
      <c r="S67" s="183"/>
      <c r="T67" s="183"/>
      <c r="U67" s="183"/>
      <c r="V67" s="183"/>
      <c r="W67" s="183"/>
      <c r="X67" s="183"/>
      <c r="Y67" s="183"/>
      <c r="Z67" s="183"/>
      <c r="AA67" s="183"/>
      <c r="AB67" s="183"/>
      <c r="AC67" s="183"/>
      <c r="AD67" s="183"/>
      <c r="AE67" s="183"/>
      <c r="AF67" s="183"/>
      <c r="AG67" s="183"/>
    </row>
    <row r="68" spans="1:33" ht="20.100000000000001" customHeight="1" x14ac:dyDescent="0.15">
      <c r="A68" s="183"/>
      <c r="B68" s="467" t="s">
        <v>1242</v>
      </c>
      <c r="C68" s="183" t="s">
        <v>1243</v>
      </c>
      <c r="D68" s="183"/>
      <c r="E68" s="183"/>
      <c r="F68" s="183"/>
      <c r="G68" s="183"/>
      <c r="H68" s="183"/>
      <c r="I68" s="183"/>
      <c r="J68" s="183"/>
      <c r="K68" s="183"/>
      <c r="L68" s="183"/>
      <c r="M68" s="183"/>
      <c r="N68" s="183"/>
      <c r="O68" s="183"/>
      <c r="P68" s="183"/>
      <c r="Q68" s="183"/>
      <c r="R68" s="183"/>
      <c r="S68" s="183"/>
      <c r="T68" s="183"/>
      <c r="U68" s="183"/>
      <c r="V68" s="183"/>
      <c r="W68" s="183"/>
      <c r="X68" s="183"/>
      <c r="Y68" s="183"/>
      <c r="Z68" s="183"/>
      <c r="AA68" s="183"/>
      <c r="AB68" s="183"/>
      <c r="AC68" s="183"/>
      <c r="AD68" s="183"/>
      <c r="AE68" s="183"/>
      <c r="AF68" s="183"/>
      <c r="AG68" s="183"/>
    </row>
    <row r="69" spans="1:33" ht="20.100000000000001" customHeight="1" x14ac:dyDescent="0.15">
      <c r="A69" s="183"/>
      <c r="B69" s="183"/>
      <c r="C69" s="230" t="s">
        <v>1244</v>
      </c>
      <c r="D69" s="183" t="s">
        <v>1245</v>
      </c>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c r="AE69" s="183"/>
      <c r="AF69" s="183"/>
      <c r="AG69" s="183"/>
    </row>
    <row r="70" spans="1:33" ht="20.100000000000001" customHeight="1" x14ac:dyDescent="0.15">
      <c r="A70" s="183"/>
      <c r="B70" s="183"/>
      <c r="C70" s="468" t="s">
        <v>1246</v>
      </c>
      <c r="D70" s="469" t="s">
        <v>1247</v>
      </c>
      <c r="E70" s="229"/>
      <c r="F70" s="183"/>
      <c r="G70" s="229"/>
      <c r="H70" s="183"/>
      <c r="I70" s="468" t="s">
        <v>265</v>
      </c>
      <c r="J70" s="466">
        <f>L2</f>
        <v>400</v>
      </c>
      <c r="K70" s="183" t="s">
        <v>97</v>
      </c>
      <c r="L70" s="183"/>
      <c r="M70" s="183"/>
      <c r="N70" s="183"/>
      <c r="O70" s="183"/>
      <c r="P70" s="183"/>
      <c r="Q70" s="183"/>
      <c r="R70" s="183"/>
      <c r="S70" s="183"/>
      <c r="T70" s="183"/>
      <c r="U70" s="183"/>
      <c r="V70" s="183"/>
      <c r="W70" s="183"/>
      <c r="X70" s="183"/>
      <c r="Y70" s="183"/>
      <c r="Z70" s="183"/>
      <c r="AA70" s="183"/>
      <c r="AB70" s="183"/>
      <c r="AC70" s="183"/>
      <c r="AD70" s="183"/>
      <c r="AE70" s="183"/>
      <c r="AF70" s="183"/>
      <c r="AG70" s="183"/>
    </row>
    <row r="71" spans="1:33" ht="20.100000000000001" customHeight="1" x14ac:dyDescent="0.15">
      <c r="A71" s="183"/>
      <c r="B71" s="183"/>
      <c r="C71" s="468" t="s">
        <v>1248</v>
      </c>
      <c r="D71" s="469" t="s">
        <v>1183</v>
      </c>
      <c r="E71" s="229"/>
      <c r="F71" s="183"/>
      <c r="G71" s="229"/>
      <c r="H71" s="183"/>
      <c r="I71" s="468" t="s">
        <v>1249</v>
      </c>
      <c r="J71" s="466">
        <f>L6</f>
        <v>526</v>
      </c>
      <c r="K71" s="183" t="s">
        <v>97</v>
      </c>
      <c r="L71" s="183"/>
      <c r="M71" s="183"/>
      <c r="N71" s="183"/>
      <c r="O71" s="183"/>
      <c r="P71" s="183"/>
      <c r="Q71" s="183"/>
      <c r="R71" s="183"/>
      <c r="S71" s="183"/>
      <c r="T71" s="183"/>
      <c r="U71" s="183"/>
      <c r="V71" s="183"/>
      <c r="W71" s="183"/>
      <c r="X71" s="183"/>
      <c r="Y71" s="183"/>
      <c r="Z71" s="183"/>
      <c r="AA71" s="183"/>
      <c r="AB71" s="183"/>
      <c r="AC71" s="183"/>
      <c r="AD71" s="183"/>
      <c r="AE71" s="183"/>
      <c r="AF71" s="183"/>
      <c r="AG71" s="183"/>
    </row>
    <row r="72" spans="1:33" ht="20.100000000000001" customHeight="1" x14ac:dyDescent="0.15">
      <c r="A72" s="183"/>
      <c r="B72" s="183"/>
      <c r="C72" s="468" t="s">
        <v>1250</v>
      </c>
      <c r="D72" s="469" t="s">
        <v>1200</v>
      </c>
      <c r="E72" s="229"/>
      <c r="F72" s="183"/>
      <c r="G72" s="183"/>
      <c r="H72" s="183"/>
      <c r="I72" s="468" t="s">
        <v>1251</v>
      </c>
      <c r="J72" s="466">
        <f>L4</f>
        <v>550</v>
      </c>
      <c r="K72" s="183" t="s">
        <v>97</v>
      </c>
      <c r="L72" s="183"/>
      <c r="M72" s="183"/>
      <c r="N72" s="183"/>
      <c r="O72" s="183"/>
      <c r="P72" s="183"/>
      <c r="Q72" s="183"/>
      <c r="R72" s="183"/>
      <c r="S72" s="183"/>
      <c r="T72" s="183"/>
      <c r="U72" s="183"/>
      <c r="V72" s="183"/>
      <c r="W72" s="183"/>
      <c r="X72" s="183"/>
      <c r="Y72" s="183"/>
      <c r="Z72" s="183"/>
      <c r="AA72" s="183"/>
      <c r="AB72" s="183"/>
      <c r="AC72" s="183"/>
      <c r="AD72" s="183"/>
      <c r="AE72" s="183"/>
      <c r="AF72" s="183"/>
      <c r="AG72" s="183"/>
    </row>
    <row r="73" spans="1:33" ht="20.100000000000001" customHeight="1" x14ac:dyDescent="0.15">
      <c r="A73" s="183"/>
      <c r="B73" s="183"/>
      <c r="C73" s="468" t="s">
        <v>1252</v>
      </c>
      <c r="D73" s="469" t="s">
        <v>1253</v>
      </c>
      <c r="E73" s="229"/>
      <c r="F73" s="183"/>
      <c r="G73" s="229"/>
      <c r="H73" s="183"/>
      <c r="I73" s="782" t="str">
        <f>L5</f>
        <v>Ⅰ種50</v>
      </c>
      <c r="J73" s="782"/>
      <c r="K73" s="183"/>
      <c r="L73" s="183"/>
      <c r="M73" s="183"/>
      <c r="N73" s="183"/>
      <c r="O73" s="183"/>
      <c r="P73" s="183"/>
      <c r="Q73" s="183"/>
      <c r="R73" s="183"/>
      <c r="S73" s="183"/>
      <c r="T73" s="183"/>
      <c r="U73" s="183"/>
      <c r="V73" s="183"/>
      <c r="W73" s="183"/>
      <c r="X73" s="183"/>
      <c r="Y73" s="183"/>
      <c r="Z73" s="183"/>
      <c r="AA73" s="183"/>
      <c r="AB73" s="183"/>
      <c r="AC73" s="183"/>
      <c r="AD73" s="183"/>
      <c r="AE73" s="183"/>
      <c r="AF73" s="183"/>
      <c r="AG73" s="183"/>
    </row>
    <row r="74" spans="1:33" ht="20.100000000000001" customHeight="1" x14ac:dyDescent="0.15">
      <c r="A74" s="183"/>
      <c r="B74" s="183"/>
      <c r="C74" s="468" t="s">
        <v>1254</v>
      </c>
      <c r="D74" s="469" t="s">
        <v>1255</v>
      </c>
      <c r="E74" s="229"/>
      <c r="F74" s="183"/>
      <c r="G74" s="229"/>
      <c r="H74" s="183"/>
      <c r="I74" s="468" t="s">
        <v>1256</v>
      </c>
      <c r="J74" s="466">
        <f>L9</f>
        <v>2.202</v>
      </c>
      <c r="K74" s="183" t="s">
        <v>1234</v>
      </c>
      <c r="L74" s="183"/>
      <c r="M74" s="183"/>
      <c r="N74" s="183"/>
      <c r="O74" s="183"/>
      <c r="P74" s="183"/>
      <c r="Q74" s="183"/>
      <c r="R74" s="183"/>
      <c r="S74" s="183"/>
      <c r="T74" s="183"/>
      <c r="U74" s="183"/>
      <c r="V74" s="183"/>
      <c r="W74" s="183"/>
      <c r="X74" s="183"/>
      <c r="Y74" s="183"/>
      <c r="Z74" s="183"/>
      <c r="AA74" s="183"/>
      <c r="AB74" s="183"/>
      <c r="AC74" s="183"/>
      <c r="AD74" s="183"/>
      <c r="AE74" s="183"/>
      <c r="AF74" s="183"/>
      <c r="AG74" s="183"/>
    </row>
    <row r="75" spans="1:33" ht="20.100000000000001" customHeight="1" x14ac:dyDescent="0.15">
      <c r="A75" s="183"/>
      <c r="B75" s="183"/>
      <c r="C75" s="468" t="s">
        <v>1257</v>
      </c>
      <c r="D75" s="469" t="s">
        <v>1258</v>
      </c>
      <c r="E75" s="229"/>
      <c r="F75" s="183"/>
      <c r="G75" s="229"/>
      <c r="H75" s="183"/>
      <c r="I75" s="468" t="s">
        <v>1259</v>
      </c>
      <c r="J75" s="466">
        <f>L10</f>
        <v>930</v>
      </c>
      <c r="K75" s="183" t="s">
        <v>1229</v>
      </c>
      <c r="L75" s="183"/>
      <c r="M75" s="183"/>
      <c r="N75" s="183"/>
      <c r="O75" s="183"/>
      <c r="P75" s="183"/>
      <c r="Q75" s="183"/>
      <c r="R75" s="183"/>
      <c r="S75" s="183"/>
      <c r="T75" s="183"/>
      <c r="U75" s="183"/>
      <c r="V75" s="183"/>
      <c r="W75" s="183"/>
      <c r="X75" s="183"/>
      <c r="Y75" s="183"/>
      <c r="Z75" s="183"/>
      <c r="AA75" s="183"/>
      <c r="AB75" s="183"/>
      <c r="AC75" s="183"/>
      <c r="AD75" s="183"/>
      <c r="AE75" s="183"/>
      <c r="AF75" s="183"/>
      <c r="AG75" s="183"/>
    </row>
    <row r="76" spans="1:33" ht="20.100000000000001" customHeight="1" x14ac:dyDescent="0.15">
      <c r="A76" s="183"/>
      <c r="B76" s="183"/>
      <c r="C76" s="468" t="s">
        <v>1260</v>
      </c>
      <c r="D76" s="469" t="s">
        <v>279</v>
      </c>
      <c r="E76" s="229"/>
      <c r="F76" s="183"/>
      <c r="G76" s="229"/>
      <c r="H76" s="183"/>
      <c r="I76" s="468" t="s">
        <v>1261</v>
      </c>
      <c r="J76" s="466">
        <f>L13</f>
        <v>5</v>
      </c>
      <c r="K76" s="183" t="s">
        <v>137</v>
      </c>
      <c r="L76" s="183"/>
      <c r="M76" s="183"/>
      <c r="N76" s="183"/>
      <c r="O76" s="183"/>
      <c r="P76" s="183"/>
      <c r="Q76" s="183"/>
      <c r="R76" s="183"/>
      <c r="S76" s="183"/>
      <c r="T76" s="183"/>
      <c r="U76" s="183"/>
      <c r="V76" s="183"/>
      <c r="W76" s="183"/>
      <c r="X76" s="183"/>
      <c r="Y76" s="183"/>
      <c r="Z76" s="183"/>
      <c r="AA76" s="183"/>
      <c r="AB76" s="183"/>
      <c r="AC76" s="183"/>
      <c r="AD76" s="183"/>
      <c r="AE76" s="183"/>
      <c r="AF76" s="183"/>
      <c r="AG76" s="183"/>
    </row>
    <row r="77" spans="1:33" ht="20.100000000000001" customHeight="1" x14ac:dyDescent="0.15">
      <c r="A77" s="183"/>
      <c r="B77" s="183"/>
      <c r="C77" s="468" t="s">
        <v>1262</v>
      </c>
      <c r="D77" s="469" t="s">
        <v>684</v>
      </c>
      <c r="E77" s="229"/>
      <c r="F77" s="183"/>
      <c r="G77" s="229"/>
      <c r="H77" s="183"/>
      <c r="I77" s="468" t="s">
        <v>1263</v>
      </c>
      <c r="J77" s="466">
        <f>L21</f>
        <v>100</v>
      </c>
      <c r="K77" s="183" t="s">
        <v>137</v>
      </c>
      <c r="L77" s="183"/>
      <c r="M77" s="183"/>
      <c r="N77" s="183"/>
      <c r="O77" s="183"/>
      <c r="P77" s="183"/>
      <c r="Q77" s="183"/>
      <c r="R77" s="183"/>
      <c r="S77" s="183"/>
      <c r="T77" s="183"/>
      <c r="U77" s="183"/>
      <c r="V77" s="183"/>
      <c r="W77" s="183"/>
      <c r="X77" s="183"/>
      <c r="Y77" s="183"/>
      <c r="Z77" s="183"/>
      <c r="AA77" s="183"/>
      <c r="AB77" s="183"/>
      <c r="AC77" s="183"/>
      <c r="AD77" s="183"/>
      <c r="AE77" s="183"/>
      <c r="AF77" s="183"/>
      <c r="AG77" s="183"/>
    </row>
    <row r="78" spans="1:33" ht="14.25" customHeight="1" x14ac:dyDescent="0.15">
      <c r="A78" s="183"/>
      <c r="B78" s="183"/>
      <c r="C78" s="183"/>
      <c r="D78" s="468"/>
      <c r="E78" s="229"/>
      <c r="F78" s="229"/>
      <c r="G78" s="229"/>
      <c r="H78" s="183"/>
      <c r="I78" s="468"/>
      <c r="J78" s="466"/>
      <c r="K78" s="183"/>
      <c r="L78" s="183"/>
      <c r="M78" s="183"/>
      <c r="N78" s="183"/>
      <c r="O78" s="183"/>
      <c r="P78" s="183"/>
      <c r="Q78" s="183"/>
      <c r="R78" s="183"/>
      <c r="S78" s="183"/>
      <c r="T78" s="183"/>
      <c r="U78" s="183"/>
      <c r="V78" s="183"/>
      <c r="W78" s="183"/>
      <c r="X78" s="183"/>
      <c r="Y78" s="183"/>
      <c r="Z78" s="183"/>
      <c r="AA78" s="183"/>
      <c r="AB78" s="183"/>
      <c r="AC78" s="183"/>
      <c r="AD78" s="183"/>
      <c r="AE78" s="183"/>
      <c r="AF78" s="183"/>
      <c r="AG78" s="183"/>
    </row>
    <row r="79" spans="1:33" ht="20.100000000000001" customHeight="1" x14ac:dyDescent="0.15">
      <c r="A79" s="183"/>
      <c r="B79" s="183"/>
      <c r="C79" s="467" t="s">
        <v>1264</v>
      </c>
      <c r="D79" s="469" t="s">
        <v>1265</v>
      </c>
      <c r="E79" s="183"/>
      <c r="F79" s="183"/>
      <c r="G79" s="183"/>
      <c r="H79" s="183"/>
      <c r="I79" s="468"/>
      <c r="J79" s="466"/>
      <c r="K79" s="183"/>
      <c r="L79" s="183"/>
      <c r="M79" s="183"/>
      <c r="N79" s="183"/>
      <c r="O79" s="183"/>
      <c r="P79" s="183"/>
      <c r="Q79" s="183"/>
      <c r="R79" s="183"/>
      <c r="S79" s="183"/>
      <c r="T79" s="183"/>
      <c r="U79" s="183"/>
      <c r="V79" s="183"/>
      <c r="W79" s="183"/>
      <c r="X79" s="183"/>
      <c r="Y79" s="183"/>
      <c r="Z79" s="183"/>
      <c r="AA79" s="183"/>
      <c r="AB79" s="183"/>
      <c r="AC79" s="183"/>
      <c r="AD79" s="183"/>
      <c r="AE79" s="183"/>
      <c r="AF79" s="183"/>
      <c r="AG79" s="183"/>
    </row>
    <row r="80" spans="1:33" ht="20.100000000000001" customHeight="1" x14ac:dyDescent="0.15">
      <c r="A80" s="183"/>
      <c r="B80" s="183"/>
      <c r="C80" s="468" t="s">
        <v>1246</v>
      </c>
      <c r="D80" s="469" t="s">
        <v>105</v>
      </c>
      <c r="E80" s="469"/>
      <c r="F80" s="183"/>
      <c r="G80" s="229"/>
      <c r="H80" s="183"/>
      <c r="I80" s="468"/>
      <c r="J80" s="466"/>
      <c r="K80" s="183"/>
      <c r="L80" s="183"/>
      <c r="M80" s="183"/>
      <c r="N80" s="183"/>
      <c r="O80" s="183"/>
      <c r="P80" s="183"/>
      <c r="Q80" s="183"/>
      <c r="R80" s="183"/>
      <c r="S80" s="183"/>
      <c r="T80" s="183"/>
      <c r="U80" s="183"/>
      <c r="V80" s="183"/>
      <c r="W80" s="183"/>
      <c r="X80" s="183"/>
      <c r="Y80" s="183"/>
      <c r="Z80" s="183"/>
      <c r="AA80" s="183"/>
      <c r="AB80" s="183"/>
      <c r="AC80" s="183"/>
      <c r="AD80" s="183"/>
      <c r="AE80" s="183"/>
      <c r="AF80" s="183"/>
      <c r="AG80" s="183"/>
    </row>
    <row r="81" spans="1:33" ht="20.100000000000001" customHeight="1" x14ac:dyDescent="0.15">
      <c r="A81" s="183"/>
      <c r="B81" s="183"/>
      <c r="C81" s="468" t="s">
        <v>1248</v>
      </c>
      <c r="D81" s="469" t="s">
        <v>280</v>
      </c>
      <c r="E81" s="469"/>
      <c r="F81" s="183"/>
      <c r="G81" s="229"/>
      <c r="H81" s="183"/>
      <c r="I81" s="468" t="s">
        <v>281</v>
      </c>
      <c r="J81" s="466">
        <f>L14</f>
        <v>3</v>
      </c>
      <c r="K81" s="183" t="s">
        <v>137</v>
      </c>
      <c r="L81" s="183"/>
      <c r="M81" s="183"/>
      <c r="N81" s="183"/>
      <c r="O81" s="183"/>
      <c r="P81" s="183"/>
      <c r="Q81" s="183"/>
      <c r="R81" s="183"/>
      <c r="S81" s="183"/>
      <c r="T81" s="183"/>
      <c r="U81" s="183"/>
      <c r="V81" s="183"/>
      <c r="W81" s="183"/>
      <c r="X81" s="183"/>
      <c r="Y81" s="183"/>
      <c r="Z81" s="183"/>
      <c r="AA81" s="183"/>
      <c r="AB81" s="183"/>
      <c r="AC81" s="183"/>
      <c r="AD81" s="183"/>
      <c r="AE81" s="183"/>
      <c r="AF81" s="183"/>
      <c r="AG81" s="183"/>
    </row>
    <row r="82" spans="1:33" ht="20.100000000000001" customHeight="1" x14ac:dyDescent="0.15">
      <c r="A82" s="183"/>
      <c r="B82" s="183"/>
      <c r="C82" s="468" t="s">
        <v>1250</v>
      </c>
      <c r="D82" s="469" t="s">
        <v>1266</v>
      </c>
      <c r="E82" s="469"/>
      <c r="F82" s="183"/>
      <c r="G82" s="229"/>
      <c r="H82" s="183"/>
      <c r="I82" s="468"/>
      <c r="J82" s="466">
        <f>L15</f>
        <v>10</v>
      </c>
      <c r="K82" s="183"/>
      <c r="L82" s="183"/>
      <c r="M82" s="183"/>
      <c r="N82" s="183"/>
      <c r="O82" s="183"/>
      <c r="P82" s="183"/>
      <c r="Q82" s="183"/>
      <c r="R82" s="183"/>
      <c r="S82" s="183"/>
      <c r="T82" s="183"/>
      <c r="U82" s="183"/>
      <c r="V82" s="183"/>
      <c r="W82" s="183"/>
      <c r="X82" s="183"/>
      <c r="Y82" s="183"/>
      <c r="Z82" s="183"/>
      <c r="AA82" s="183"/>
      <c r="AB82" s="183"/>
      <c r="AC82" s="183"/>
      <c r="AD82" s="183"/>
      <c r="AE82" s="183"/>
      <c r="AF82" s="183"/>
      <c r="AG82" s="183"/>
    </row>
    <row r="83" spans="1:33" ht="20.100000000000001" customHeight="1" x14ac:dyDescent="0.15">
      <c r="A83" s="183"/>
      <c r="B83" s="183"/>
      <c r="C83" s="468"/>
      <c r="D83" s="469"/>
      <c r="E83" s="469"/>
      <c r="F83" s="183"/>
      <c r="G83" s="183"/>
      <c r="H83" s="183"/>
      <c r="I83" s="468"/>
      <c r="J83" s="466"/>
      <c r="K83" s="183"/>
      <c r="L83" s="183"/>
      <c r="M83" s="183"/>
      <c r="N83" s="183"/>
      <c r="O83" s="183"/>
      <c r="P83" s="183"/>
      <c r="Q83" s="183"/>
      <c r="R83" s="183"/>
      <c r="S83" s="183"/>
      <c r="T83" s="183"/>
      <c r="U83" s="183"/>
      <c r="V83" s="183"/>
      <c r="W83" s="183"/>
      <c r="X83" s="183"/>
      <c r="Y83" s="183"/>
      <c r="Z83" s="183"/>
      <c r="AA83" s="183"/>
      <c r="AB83" s="183"/>
      <c r="AC83" s="183"/>
      <c r="AD83" s="183"/>
      <c r="AE83" s="183"/>
      <c r="AF83" s="183"/>
      <c r="AG83" s="183"/>
    </row>
    <row r="84" spans="1:33" ht="20.100000000000001" customHeight="1" x14ac:dyDescent="0.15">
      <c r="A84" s="183"/>
      <c r="B84" s="183"/>
      <c r="C84" s="468"/>
      <c r="D84" s="469"/>
      <c r="E84" s="469"/>
      <c r="F84" s="183"/>
      <c r="G84" s="183"/>
      <c r="H84" s="183"/>
      <c r="I84" s="468"/>
      <c r="J84" s="466"/>
      <c r="K84" s="183"/>
      <c r="L84" s="183"/>
      <c r="M84" s="183"/>
      <c r="N84" s="183"/>
      <c r="O84" s="183"/>
      <c r="P84" s="183"/>
      <c r="Q84" s="183"/>
      <c r="R84" s="183"/>
      <c r="S84" s="183"/>
      <c r="T84" s="183"/>
      <c r="U84" s="183"/>
      <c r="V84" s="183"/>
      <c r="W84" s="183"/>
      <c r="X84" s="183"/>
      <c r="Y84" s="183"/>
      <c r="Z84" s="183"/>
      <c r="AA84" s="183"/>
      <c r="AB84" s="183"/>
      <c r="AC84" s="183"/>
      <c r="AD84" s="183"/>
      <c r="AE84" s="183"/>
      <c r="AF84" s="183"/>
      <c r="AG84" s="183"/>
    </row>
    <row r="85" spans="1:33" ht="20.100000000000001" customHeight="1" x14ac:dyDescent="0.15">
      <c r="A85" s="183"/>
      <c r="B85" s="183"/>
      <c r="C85" s="468"/>
      <c r="D85" s="469"/>
      <c r="E85" s="469"/>
      <c r="F85" s="183"/>
      <c r="G85" s="183"/>
      <c r="H85" s="183"/>
      <c r="I85" s="468"/>
      <c r="J85" s="466"/>
      <c r="K85" s="183"/>
      <c r="L85" s="183"/>
      <c r="M85" s="183"/>
      <c r="N85" s="183"/>
      <c r="O85" s="183"/>
      <c r="P85" s="183"/>
      <c r="Q85" s="183"/>
      <c r="R85" s="183"/>
      <c r="S85" s="183"/>
      <c r="T85" s="183"/>
      <c r="U85" s="183"/>
      <c r="V85" s="183"/>
      <c r="W85" s="183"/>
      <c r="X85" s="183"/>
      <c r="Y85" s="183"/>
      <c r="Z85" s="183"/>
      <c r="AA85" s="183"/>
      <c r="AB85" s="183"/>
      <c r="AC85" s="183"/>
      <c r="AD85" s="183"/>
      <c r="AE85" s="183"/>
      <c r="AF85" s="183"/>
      <c r="AG85" s="183"/>
    </row>
    <row r="86" spans="1:33" ht="20.100000000000001" customHeight="1" x14ac:dyDescent="0.15">
      <c r="A86" s="183"/>
      <c r="B86" s="467" t="s">
        <v>1267</v>
      </c>
      <c r="C86" s="183" t="s">
        <v>1268</v>
      </c>
      <c r="D86" s="183"/>
      <c r="E86" s="183"/>
      <c r="F86" s="183"/>
      <c r="G86" s="183"/>
      <c r="H86" s="183"/>
      <c r="I86" s="183"/>
      <c r="J86" s="183"/>
      <c r="K86" s="183"/>
      <c r="L86" s="183"/>
      <c r="M86" s="183"/>
      <c r="N86" s="183"/>
      <c r="O86" s="183"/>
      <c r="P86" s="183"/>
      <c r="Q86" s="183"/>
      <c r="R86" s="183"/>
      <c r="S86" s="183"/>
      <c r="T86" s="183"/>
      <c r="U86" s="183"/>
      <c r="V86" s="183"/>
      <c r="W86" s="183"/>
      <c r="X86" s="183"/>
      <c r="Y86" s="183"/>
      <c r="Z86" s="183"/>
      <c r="AA86" s="183"/>
      <c r="AB86" s="183"/>
      <c r="AC86" s="183"/>
      <c r="AD86" s="183"/>
      <c r="AE86" s="183"/>
      <c r="AF86" s="183"/>
      <c r="AG86" s="183"/>
    </row>
    <row r="87" spans="1:33" ht="20.100000000000001" customHeight="1" x14ac:dyDescent="0.15">
      <c r="A87" s="183"/>
      <c r="B87" s="183"/>
      <c r="C87" s="183"/>
      <c r="D87" s="183"/>
      <c r="E87" s="466"/>
      <c r="F87" s="233"/>
      <c r="G87" s="234"/>
      <c r="H87" s="469"/>
      <c r="I87" s="466"/>
      <c r="J87" s="466"/>
      <c r="K87" s="466"/>
      <c r="L87" s="183"/>
      <c r="M87" s="183"/>
      <c r="N87" s="183"/>
      <c r="O87" s="183"/>
      <c r="P87" s="183"/>
      <c r="Q87" s="183"/>
      <c r="R87" s="183"/>
      <c r="S87" s="183"/>
      <c r="T87" s="183"/>
      <c r="U87" s="183"/>
      <c r="V87" s="183"/>
      <c r="W87" s="183"/>
      <c r="X87" s="183"/>
      <c r="Y87" s="183"/>
      <c r="Z87" s="183"/>
      <c r="AA87" s="183"/>
      <c r="AB87" s="183"/>
      <c r="AC87" s="183"/>
      <c r="AD87" s="183"/>
      <c r="AE87" s="183"/>
      <c r="AF87" s="183"/>
      <c r="AG87" s="183"/>
    </row>
    <row r="88" spans="1:33" ht="20.100000000000001" customHeight="1" x14ac:dyDescent="0.15">
      <c r="A88" s="183"/>
      <c r="B88" s="183"/>
      <c r="C88" s="468" t="s">
        <v>1269</v>
      </c>
      <c r="D88" s="183" t="s">
        <v>1270</v>
      </c>
      <c r="E88" s="183"/>
      <c r="F88" s="183"/>
      <c r="G88" s="183"/>
      <c r="H88" s="183"/>
      <c r="I88" s="183"/>
      <c r="J88" s="183"/>
      <c r="K88" s="183"/>
      <c r="L88" s="183"/>
      <c r="M88" s="183"/>
      <c r="N88" s="183"/>
      <c r="O88" s="183"/>
      <c r="P88" s="183"/>
      <c r="Q88" s="183"/>
      <c r="R88" s="183"/>
      <c r="S88" s="183"/>
      <c r="T88" s="183"/>
      <c r="U88" s="183"/>
      <c r="V88" s="183"/>
      <c r="W88" s="183"/>
      <c r="X88" s="183"/>
      <c r="Y88" s="183"/>
      <c r="Z88" s="183"/>
      <c r="AA88" s="183"/>
      <c r="AB88" s="183"/>
      <c r="AC88" s="183"/>
      <c r="AD88" s="183"/>
      <c r="AE88" s="183"/>
      <c r="AF88" s="183"/>
      <c r="AG88" s="183"/>
    </row>
    <row r="89" spans="1:33" ht="36" customHeight="1" x14ac:dyDescent="0.15">
      <c r="A89" s="183"/>
      <c r="B89" s="183"/>
      <c r="C89" s="183"/>
      <c r="D89" s="468" t="s">
        <v>1225</v>
      </c>
      <c r="E89" s="183"/>
      <c r="F89" s="183"/>
      <c r="G89" s="183"/>
      <c r="H89" s="183"/>
      <c r="I89" s="183"/>
      <c r="J89" s="183"/>
      <c r="K89" s="183"/>
      <c r="L89" s="183"/>
      <c r="M89" s="183"/>
      <c r="N89" s="183"/>
      <c r="O89" s="183"/>
      <c r="P89" s="183"/>
      <c r="Q89" s="183"/>
      <c r="R89" s="183"/>
      <c r="S89" s="183"/>
      <c r="T89" s="183"/>
      <c r="U89" s="183"/>
      <c r="V89" s="183"/>
      <c r="W89" s="183"/>
      <c r="X89" s="183"/>
      <c r="Y89" s="183"/>
      <c r="Z89" s="183"/>
      <c r="AA89" s="183"/>
      <c r="AB89" s="183"/>
      <c r="AC89" s="183"/>
      <c r="AD89" s="183"/>
      <c r="AE89" s="183"/>
      <c r="AF89" s="183"/>
      <c r="AG89" s="183"/>
    </row>
    <row r="90" spans="1:33" ht="20.100000000000001" customHeight="1" x14ac:dyDescent="0.15">
      <c r="A90" s="183"/>
      <c r="B90" s="183"/>
      <c r="C90" s="183"/>
      <c r="D90" s="814" t="s">
        <v>1271</v>
      </c>
      <c r="E90" s="782">
        <f>IF(K12=2,1750,IF(K12=3,1500,1200))</f>
        <v>1200</v>
      </c>
      <c r="F90" s="782"/>
      <c r="G90" s="782" t="s">
        <v>1272</v>
      </c>
      <c r="H90" s="231">
        <f>J72/1000</f>
        <v>0.55000000000000004</v>
      </c>
      <c r="I90" s="183"/>
      <c r="J90" s="782" t="s">
        <v>1273</v>
      </c>
      <c r="K90" s="782">
        <f>ROUND(E90*PI()*(H90/2)^2,0)</f>
        <v>285</v>
      </c>
      <c r="L90" s="780" t="s">
        <v>1274</v>
      </c>
      <c r="M90" s="183"/>
      <c r="N90" s="183"/>
      <c r="O90" s="183"/>
      <c r="P90" s="183"/>
      <c r="Q90" s="183"/>
      <c r="R90" s="183"/>
      <c r="S90" s="183"/>
      <c r="T90" s="183"/>
      <c r="U90" s="183"/>
      <c r="V90" s="183"/>
      <c r="W90" s="183"/>
      <c r="X90" s="183"/>
      <c r="Y90" s="183"/>
      <c r="Z90" s="183"/>
      <c r="AA90" s="183"/>
      <c r="AB90" s="183"/>
      <c r="AC90" s="183"/>
      <c r="AD90" s="183"/>
      <c r="AE90" s="183"/>
      <c r="AF90" s="183"/>
      <c r="AG90" s="183"/>
    </row>
    <row r="91" spans="1:33" ht="20.100000000000001" customHeight="1" x14ac:dyDescent="0.15">
      <c r="A91" s="183"/>
      <c r="B91" s="183"/>
      <c r="C91" s="183"/>
      <c r="D91" s="814"/>
      <c r="E91" s="782"/>
      <c r="F91" s="782"/>
      <c r="G91" s="782"/>
      <c r="H91" s="466">
        <v>2</v>
      </c>
      <c r="I91" s="183"/>
      <c r="J91" s="782"/>
      <c r="K91" s="782"/>
      <c r="L91" s="780"/>
      <c r="M91" s="183"/>
      <c r="N91" s="183"/>
      <c r="O91" s="183"/>
      <c r="P91" s="183"/>
      <c r="Q91" s="183"/>
      <c r="R91" s="183"/>
      <c r="S91" s="183"/>
      <c r="T91" s="183"/>
      <c r="U91" s="183"/>
      <c r="V91" s="183"/>
      <c r="W91" s="183"/>
      <c r="X91" s="183"/>
      <c r="Y91" s="183"/>
      <c r="Z91" s="183"/>
      <c r="AA91" s="183"/>
      <c r="AB91" s="183"/>
      <c r="AC91" s="183"/>
      <c r="AD91" s="183"/>
      <c r="AE91" s="183"/>
      <c r="AF91" s="183"/>
      <c r="AG91" s="183"/>
    </row>
    <row r="92" spans="1:33" ht="20.100000000000001" customHeight="1" x14ac:dyDescent="0.15">
      <c r="A92" s="183"/>
      <c r="B92" s="183"/>
      <c r="C92" s="468" t="s">
        <v>1275</v>
      </c>
      <c r="D92" s="183" t="s">
        <v>1276</v>
      </c>
      <c r="E92" s="183"/>
      <c r="F92" s="183"/>
      <c r="G92" s="183"/>
      <c r="H92" s="183"/>
      <c r="I92" s="183"/>
      <c r="J92" s="183"/>
      <c r="K92" s="183"/>
      <c r="L92" s="183"/>
      <c r="M92" s="183"/>
      <c r="N92" s="183"/>
      <c r="O92" s="183"/>
      <c r="P92" s="183"/>
      <c r="Q92" s="183"/>
      <c r="R92" s="183"/>
      <c r="S92" s="183"/>
      <c r="T92" s="183"/>
      <c r="U92" s="183"/>
      <c r="V92" s="183"/>
      <c r="W92" s="183"/>
      <c r="X92" s="183"/>
      <c r="Y92" s="183"/>
      <c r="Z92" s="183"/>
      <c r="AA92" s="183"/>
      <c r="AB92" s="183"/>
      <c r="AC92" s="183"/>
      <c r="AD92" s="183"/>
      <c r="AE92" s="183"/>
      <c r="AF92" s="183"/>
      <c r="AG92" s="183"/>
    </row>
    <row r="93" spans="1:33" ht="24" customHeight="1" x14ac:dyDescent="0.15">
      <c r="A93" s="183"/>
      <c r="B93" s="183"/>
      <c r="C93" s="183"/>
      <c r="D93" s="468" t="s">
        <v>1223</v>
      </c>
      <c r="E93" s="183" t="s">
        <v>1224</v>
      </c>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c r="AG93" s="183"/>
    </row>
    <row r="94" spans="1:33" ht="20.100000000000001" customHeight="1" x14ac:dyDescent="0.15">
      <c r="A94" s="183"/>
      <c r="B94" s="183"/>
      <c r="C94" s="183"/>
      <c r="D94" s="466"/>
      <c r="E94" s="183"/>
      <c r="F94" s="466"/>
      <c r="G94" s="466"/>
      <c r="H94" s="466"/>
      <c r="I94" s="466"/>
      <c r="J94" s="466" t="s">
        <v>1273</v>
      </c>
      <c r="K94" s="466">
        <f>ROUND(K90+IF(K12=2,4.5,IF(K12=3,2.5,3))*(3.14*J72/1000)*J77,1)</f>
        <v>803.1</v>
      </c>
      <c r="L94" s="469" t="s">
        <v>1229</v>
      </c>
      <c r="M94" s="183"/>
      <c r="N94" s="183"/>
      <c r="O94" s="183"/>
      <c r="P94" s="183"/>
      <c r="Q94" s="183"/>
      <c r="R94" s="183"/>
      <c r="S94" s="183"/>
      <c r="T94" s="183"/>
      <c r="U94" s="183"/>
      <c r="V94" s="183"/>
      <c r="W94" s="183"/>
      <c r="X94" s="183"/>
      <c r="Y94" s="183"/>
      <c r="Z94" s="183"/>
      <c r="AA94" s="183"/>
      <c r="AB94" s="183"/>
      <c r="AC94" s="183"/>
      <c r="AD94" s="183"/>
      <c r="AE94" s="183"/>
      <c r="AF94" s="183"/>
      <c r="AG94" s="183"/>
    </row>
    <row r="95" spans="1:33" ht="20.100000000000001" customHeight="1" x14ac:dyDescent="0.15">
      <c r="A95" s="183"/>
      <c r="B95" s="183"/>
      <c r="C95" s="183"/>
      <c r="D95" s="466"/>
      <c r="E95" s="183"/>
      <c r="F95" s="466"/>
      <c r="G95" s="183"/>
      <c r="H95" s="466"/>
      <c r="I95" s="466"/>
      <c r="J95" s="466"/>
      <c r="K95" s="466"/>
      <c r="L95" s="469"/>
      <c r="M95" s="183"/>
      <c r="N95" s="183"/>
      <c r="O95" s="183"/>
      <c r="P95" s="183"/>
      <c r="Q95" s="183"/>
      <c r="R95" s="183"/>
      <c r="S95" s="183"/>
      <c r="T95" s="183"/>
      <c r="U95" s="183"/>
      <c r="V95" s="183"/>
      <c r="W95" s="183"/>
      <c r="X95" s="183"/>
      <c r="Y95" s="183"/>
      <c r="Z95" s="183"/>
      <c r="AA95" s="183"/>
      <c r="AB95" s="183"/>
      <c r="AC95" s="183"/>
      <c r="AD95" s="183"/>
      <c r="AE95" s="183"/>
      <c r="AF95" s="183"/>
      <c r="AG95" s="183"/>
    </row>
    <row r="96" spans="1:33" ht="20.100000000000001" customHeight="1" x14ac:dyDescent="0.15">
      <c r="A96" s="183"/>
      <c r="B96" s="467" t="s">
        <v>1277</v>
      </c>
      <c r="C96" s="183" t="s">
        <v>1278</v>
      </c>
      <c r="D96" s="466"/>
      <c r="E96" s="183"/>
      <c r="F96" s="466"/>
      <c r="G96" s="183"/>
      <c r="H96" s="466"/>
      <c r="I96" s="466"/>
      <c r="J96" s="466"/>
      <c r="K96" s="466"/>
      <c r="L96" s="469"/>
      <c r="M96" s="183"/>
      <c r="N96" s="183"/>
      <c r="O96" s="183"/>
      <c r="P96" s="183"/>
      <c r="Q96" s="183"/>
      <c r="R96" s="183"/>
      <c r="S96" s="183"/>
      <c r="T96" s="183"/>
      <c r="U96" s="183"/>
      <c r="V96" s="183"/>
      <c r="W96" s="183"/>
      <c r="X96" s="183"/>
      <c r="Y96" s="183"/>
      <c r="Z96" s="183"/>
      <c r="AA96" s="183"/>
      <c r="AB96" s="183"/>
      <c r="AC96" s="183"/>
      <c r="AD96" s="183"/>
      <c r="AE96" s="183"/>
      <c r="AF96" s="183"/>
      <c r="AG96" s="183"/>
    </row>
    <row r="97" spans="1:33" ht="20.100000000000001" customHeight="1" x14ac:dyDescent="0.15">
      <c r="A97" s="183"/>
      <c r="B97" s="183"/>
      <c r="C97" s="468" t="s">
        <v>1246</v>
      </c>
      <c r="D97" s="782" t="s">
        <v>1279</v>
      </c>
      <c r="E97" s="782"/>
      <c r="F97" s="782"/>
      <c r="G97" s="782"/>
      <c r="H97" s="183"/>
      <c r="I97" s="466"/>
      <c r="J97" s="466"/>
      <c r="K97" s="466"/>
      <c r="L97" s="469"/>
      <c r="M97" s="183"/>
      <c r="N97" s="183"/>
      <c r="O97" s="183"/>
      <c r="P97" s="183"/>
      <c r="Q97" s="183"/>
      <c r="R97" s="183"/>
      <c r="S97" s="183"/>
      <c r="T97" s="183"/>
      <c r="U97" s="183"/>
      <c r="V97" s="183"/>
      <c r="W97" s="183"/>
      <c r="X97" s="183"/>
      <c r="Y97" s="183"/>
      <c r="Z97" s="183"/>
      <c r="AA97" s="183"/>
      <c r="AB97" s="183"/>
      <c r="AC97" s="183"/>
      <c r="AD97" s="183"/>
      <c r="AE97" s="183"/>
      <c r="AF97" s="183"/>
      <c r="AG97" s="183"/>
    </row>
    <row r="98" spans="1:33" ht="20.100000000000001" customHeight="1" x14ac:dyDescent="0.15">
      <c r="A98" s="183"/>
      <c r="B98" s="183"/>
      <c r="C98" s="183"/>
      <c r="D98" s="780" t="s">
        <v>1280</v>
      </c>
      <c r="E98" s="780"/>
      <c r="F98" s="780"/>
      <c r="G98" s="183"/>
      <c r="H98" s="466"/>
      <c r="I98" s="780" t="s">
        <v>1281</v>
      </c>
      <c r="J98" s="780"/>
      <c r="K98" s="780"/>
      <c r="L98" s="469"/>
      <c r="M98" s="183"/>
      <c r="N98" s="183"/>
      <c r="O98" s="183"/>
      <c r="P98" s="183"/>
      <c r="Q98" s="183"/>
      <c r="R98" s="183"/>
      <c r="S98" s="183"/>
      <c r="T98" s="183"/>
      <c r="U98" s="183"/>
      <c r="V98" s="183"/>
      <c r="W98" s="183"/>
      <c r="X98" s="183"/>
      <c r="Y98" s="183"/>
      <c r="Z98" s="183"/>
      <c r="AA98" s="183"/>
      <c r="AB98" s="183"/>
      <c r="AC98" s="183"/>
      <c r="AD98" s="183"/>
      <c r="AE98" s="183"/>
      <c r="AF98" s="183"/>
      <c r="AG98" s="183"/>
    </row>
    <row r="99" spans="1:33" ht="20.100000000000001" customHeight="1" x14ac:dyDescent="0.15">
      <c r="A99" s="183"/>
      <c r="B99" s="183"/>
      <c r="C99" s="183"/>
      <c r="D99" s="468" t="s">
        <v>1259</v>
      </c>
      <c r="E99" s="183" t="s">
        <v>1282</v>
      </c>
      <c r="F99" s="466"/>
      <c r="G99" s="183"/>
      <c r="H99" s="466"/>
      <c r="I99" s="468" t="s">
        <v>1259</v>
      </c>
      <c r="J99" s="183" t="s">
        <v>1282</v>
      </c>
      <c r="K99" s="466"/>
      <c r="L99" s="469"/>
      <c r="M99" s="183"/>
      <c r="N99" s="183"/>
      <c r="O99" s="183"/>
      <c r="P99" s="183"/>
      <c r="Q99" s="183"/>
      <c r="R99" s="183"/>
      <c r="S99" s="183"/>
      <c r="T99" s="183"/>
      <c r="U99" s="183"/>
      <c r="V99" s="183"/>
      <c r="W99" s="183"/>
      <c r="X99" s="183"/>
      <c r="Y99" s="183"/>
      <c r="Z99" s="183"/>
      <c r="AA99" s="183"/>
      <c r="AB99" s="183"/>
      <c r="AC99" s="183"/>
      <c r="AD99" s="183"/>
      <c r="AE99" s="183"/>
      <c r="AF99" s="183"/>
      <c r="AG99" s="183"/>
    </row>
    <row r="100" spans="1:33" ht="20.100000000000001" customHeight="1" x14ac:dyDescent="0.15">
      <c r="A100" s="183"/>
      <c r="B100" s="183"/>
      <c r="C100" s="183"/>
      <c r="D100" s="468" t="s">
        <v>1273</v>
      </c>
      <c r="E100" s="466" t="s">
        <v>1283</v>
      </c>
      <c r="F100" s="235">
        <v>13</v>
      </c>
      <c r="G100" s="183">
        <f>MAX(Z27:Z29)</f>
        <v>7.2999999999999995E-2</v>
      </c>
      <c r="H100" s="466"/>
      <c r="I100" s="236"/>
      <c r="J100" s="466"/>
      <c r="K100" s="468">
        <f>G100</f>
        <v>7.2999999999999995E-2</v>
      </c>
      <c r="L100" s="183"/>
      <c r="M100" s="183"/>
      <c r="N100" s="183"/>
      <c r="O100" s="183"/>
      <c r="P100" s="183"/>
      <c r="Q100" s="183"/>
      <c r="R100" s="183"/>
      <c r="S100" s="183"/>
      <c r="T100" s="183"/>
      <c r="U100" s="183"/>
      <c r="V100" s="183"/>
      <c r="W100" s="183"/>
      <c r="X100" s="183"/>
      <c r="Y100" s="183"/>
      <c r="Z100" s="183"/>
      <c r="AA100" s="183"/>
      <c r="AB100" s="183"/>
      <c r="AC100" s="183"/>
      <c r="AD100" s="183"/>
      <c r="AE100" s="183"/>
      <c r="AF100" s="183"/>
      <c r="AG100" s="183"/>
    </row>
    <row r="101" spans="1:33" ht="20.100000000000001" customHeight="1" x14ac:dyDescent="0.15">
      <c r="A101" s="183"/>
      <c r="B101" s="183"/>
      <c r="C101" s="183"/>
      <c r="D101" s="468" t="s">
        <v>1273</v>
      </c>
      <c r="E101" s="183">
        <f>10^3*13*G100</f>
        <v>948.99999999999989</v>
      </c>
      <c r="F101" s="469" t="s">
        <v>1229</v>
      </c>
      <c r="G101" s="183"/>
      <c r="H101" s="466"/>
      <c r="I101" s="468" t="s">
        <v>1273</v>
      </c>
      <c r="J101" s="237">
        <f>10^3*17.5*K100</f>
        <v>1277.5</v>
      </c>
      <c r="K101" s="469" t="s">
        <v>1229</v>
      </c>
      <c r="L101" s="469"/>
      <c r="M101" s="183"/>
      <c r="N101" s="183"/>
      <c r="O101" s="183"/>
      <c r="P101" s="183"/>
      <c r="Q101" s="183"/>
      <c r="R101" s="183"/>
      <c r="S101" s="183"/>
      <c r="T101" s="183"/>
      <c r="U101" s="183"/>
      <c r="V101" s="183"/>
      <c r="W101" s="183"/>
      <c r="X101" s="183"/>
      <c r="Y101" s="183"/>
      <c r="Z101" s="183"/>
      <c r="AA101" s="183"/>
      <c r="AB101" s="183"/>
      <c r="AC101" s="183"/>
      <c r="AD101" s="183"/>
      <c r="AE101" s="183"/>
      <c r="AF101" s="183"/>
      <c r="AG101" s="183"/>
    </row>
    <row r="102" spans="1:33" ht="20.100000000000001" customHeight="1" x14ac:dyDescent="0.15">
      <c r="A102" s="183"/>
      <c r="B102" s="183"/>
      <c r="C102" s="468" t="s">
        <v>1248</v>
      </c>
      <c r="D102" s="782" t="s">
        <v>1284</v>
      </c>
      <c r="E102" s="782"/>
      <c r="F102" s="466"/>
      <c r="G102" s="183"/>
      <c r="H102" s="466"/>
      <c r="I102" s="466"/>
      <c r="J102" s="466"/>
      <c r="K102" s="466"/>
      <c r="L102" s="469"/>
      <c r="M102" s="183"/>
      <c r="N102" s="183"/>
      <c r="O102" s="183"/>
      <c r="P102" s="183"/>
      <c r="Q102" s="183"/>
      <c r="R102" s="183"/>
      <c r="S102" s="183"/>
      <c r="T102" s="183"/>
      <c r="U102" s="183"/>
      <c r="V102" s="183"/>
      <c r="W102" s="183"/>
      <c r="X102" s="183"/>
      <c r="Y102" s="183"/>
      <c r="Z102" s="183"/>
      <c r="AA102" s="183"/>
      <c r="AB102" s="183"/>
      <c r="AC102" s="183"/>
      <c r="AD102" s="183"/>
      <c r="AE102" s="183"/>
      <c r="AF102" s="183"/>
      <c r="AG102" s="183"/>
    </row>
    <row r="103" spans="1:33" ht="20.100000000000001" customHeight="1" x14ac:dyDescent="0.15">
      <c r="A103" s="183"/>
      <c r="B103" s="183"/>
      <c r="C103" s="183"/>
      <c r="D103" s="780" t="s">
        <v>1280</v>
      </c>
      <c r="E103" s="780"/>
      <c r="F103" s="780"/>
      <c r="G103" s="183"/>
      <c r="H103" s="466"/>
      <c r="I103" s="780" t="s">
        <v>1281</v>
      </c>
      <c r="J103" s="780"/>
      <c r="K103" s="780"/>
      <c r="L103" s="469"/>
      <c r="M103" s="183"/>
      <c r="N103" s="183"/>
      <c r="O103" s="183"/>
      <c r="P103" s="183"/>
      <c r="Q103" s="183"/>
      <c r="R103" s="183"/>
      <c r="S103" s="183"/>
      <c r="T103" s="183"/>
      <c r="U103" s="183"/>
      <c r="V103" s="183"/>
      <c r="W103" s="183"/>
      <c r="X103" s="183"/>
      <c r="Y103" s="183"/>
      <c r="Z103" s="183"/>
      <c r="AA103" s="183"/>
      <c r="AB103" s="183"/>
      <c r="AC103" s="183"/>
      <c r="AD103" s="183"/>
      <c r="AE103" s="183"/>
      <c r="AF103" s="183"/>
      <c r="AG103" s="183"/>
    </row>
    <row r="104" spans="1:33" ht="34.5" customHeight="1" x14ac:dyDescent="0.15">
      <c r="A104" s="183"/>
      <c r="B104" s="183"/>
      <c r="C104" s="183"/>
      <c r="D104" s="468" t="s">
        <v>1285</v>
      </c>
      <c r="E104" s="183"/>
      <c r="F104" s="466"/>
      <c r="G104" s="183"/>
      <c r="H104" s="183"/>
      <c r="I104" s="468" t="s">
        <v>1285</v>
      </c>
      <c r="J104" s="183"/>
      <c r="K104" s="466"/>
      <c r="L104" s="183"/>
      <c r="M104" s="183"/>
      <c r="N104" s="183"/>
      <c r="O104" s="183"/>
      <c r="P104" s="183"/>
      <c r="Q104" s="183"/>
      <c r="R104" s="183"/>
      <c r="S104" s="183"/>
      <c r="T104" s="183"/>
      <c r="U104" s="183"/>
      <c r="V104" s="183"/>
      <c r="W104" s="183"/>
      <c r="X104" s="183"/>
      <c r="Y104" s="183"/>
      <c r="Z104" s="183"/>
      <c r="AA104" s="183"/>
      <c r="AB104" s="183"/>
      <c r="AC104" s="183"/>
      <c r="AD104" s="183"/>
      <c r="AE104" s="183"/>
      <c r="AF104" s="183"/>
      <c r="AG104" s="183"/>
    </row>
    <row r="105" spans="1:33" ht="20.100000000000001" customHeight="1" x14ac:dyDescent="0.15">
      <c r="A105" s="183"/>
      <c r="B105" s="183"/>
      <c r="C105" s="183"/>
      <c r="D105" s="783" t="s">
        <v>1273</v>
      </c>
      <c r="E105" s="232">
        <f>E101</f>
        <v>948.99999999999989</v>
      </c>
      <c r="F105" s="231" t="s">
        <v>1286</v>
      </c>
      <c r="G105" s="231">
        <f>K90</f>
        <v>285</v>
      </c>
      <c r="H105" s="183"/>
      <c r="I105" s="783" t="s">
        <v>1273</v>
      </c>
      <c r="J105" s="232">
        <f>J101</f>
        <v>1277.5</v>
      </c>
      <c r="K105" s="231">
        <f>G105</f>
        <v>285</v>
      </c>
      <c r="L105" s="466"/>
      <c r="M105" s="183"/>
      <c r="N105" s="183"/>
      <c r="O105" s="183"/>
      <c r="P105" s="183"/>
      <c r="Q105" s="183"/>
      <c r="R105" s="183"/>
      <c r="S105" s="183"/>
      <c r="T105" s="183"/>
      <c r="U105" s="183"/>
      <c r="V105" s="183"/>
      <c r="W105" s="183"/>
      <c r="X105" s="183"/>
      <c r="Y105" s="183"/>
      <c r="Z105" s="183"/>
      <c r="AA105" s="183"/>
      <c r="AB105" s="183"/>
      <c r="AC105" s="183"/>
      <c r="AD105" s="183"/>
      <c r="AE105" s="183"/>
      <c r="AF105" s="183"/>
      <c r="AG105" s="183"/>
    </row>
    <row r="106" spans="1:33" ht="20.100000000000001" customHeight="1" x14ac:dyDescent="0.15">
      <c r="A106" s="183"/>
      <c r="B106" s="183"/>
      <c r="C106" s="183"/>
      <c r="D106" s="783"/>
      <c r="E106" s="782">
        <f>IF(K12=2,4.5*(3.14*J72/1000),IF(K12=3,2.5*(3.14*J72/1000),3*(3.14*J72/1000)))</f>
        <v>5.181</v>
      </c>
      <c r="F106" s="782"/>
      <c r="G106" s="782"/>
      <c r="H106" s="183"/>
      <c r="I106" s="783"/>
      <c r="J106" s="815">
        <f>IF(K12=2,4.5*(3.14*J72/1000),IF(K12=3,2.5*(3.14*J72/1000),3*(3.14*J72/1000)))</f>
        <v>5.181</v>
      </c>
      <c r="K106" s="815"/>
      <c r="L106" s="466"/>
      <c r="M106" s="183"/>
      <c r="N106" s="183"/>
      <c r="O106" s="183"/>
      <c r="P106" s="183"/>
      <c r="Q106" s="183"/>
      <c r="R106" s="183"/>
      <c r="S106" s="183"/>
      <c r="T106" s="183"/>
      <c r="U106" s="183"/>
      <c r="V106" s="183"/>
      <c r="W106" s="183"/>
      <c r="X106" s="183"/>
      <c r="Y106" s="183"/>
      <c r="Z106" s="183"/>
      <c r="AA106" s="183"/>
      <c r="AB106" s="183"/>
      <c r="AC106" s="183"/>
      <c r="AD106" s="183"/>
      <c r="AE106" s="183"/>
      <c r="AF106" s="183"/>
      <c r="AG106" s="183"/>
    </row>
    <row r="107" spans="1:33" ht="20.100000000000001" customHeight="1" x14ac:dyDescent="0.15">
      <c r="A107" s="183"/>
      <c r="B107" s="183"/>
      <c r="C107" s="183"/>
      <c r="D107" s="468" t="s">
        <v>1273</v>
      </c>
      <c r="E107" s="470">
        <f>ROUND((E105-G105)/E106,0)</f>
        <v>128</v>
      </c>
      <c r="F107" s="469" t="s">
        <v>137</v>
      </c>
      <c r="G107" s="183"/>
      <c r="H107" s="183"/>
      <c r="I107" s="468" t="s">
        <v>1273</v>
      </c>
      <c r="J107" s="470">
        <f>ROUND((J105-K105)/J106,0)</f>
        <v>192</v>
      </c>
      <c r="K107" s="469" t="s">
        <v>137</v>
      </c>
      <c r="L107" s="183"/>
      <c r="M107" s="183"/>
      <c r="N107" s="183"/>
      <c r="O107" s="183"/>
      <c r="P107" s="183"/>
      <c r="Q107" s="183"/>
      <c r="R107" s="183"/>
      <c r="S107" s="183"/>
      <c r="T107" s="183"/>
      <c r="U107" s="183"/>
      <c r="V107" s="183"/>
      <c r="W107" s="183"/>
      <c r="X107" s="183"/>
      <c r="Y107" s="183"/>
      <c r="Z107" s="183"/>
      <c r="AA107" s="183"/>
      <c r="AB107" s="183"/>
      <c r="AC107" s="183"/>
      <c r="AD107" s="183"/>
      <c r="AE107" s="183"/>
      <c r="AF107" s="183"/>
      <c r="AG107" s="183"/>
    </row>
    <row r="108" spans="1:33" ht="20.100000000000001" customHeight="1" x14ac:dyDescent="0.15">
      <c r="A108" s="183"/>
      <c r="B108" s="183"/>
      <c r="C108" s="468" t="s">
        <v>1250</v>
      </c>
      <c r="D108" s="183" t="s">
        <v>1287</v>
      </c>
      <c r="E108" s="183"/>
      <c r="F108" s="183"/>
      <c r="G108" s="183"/>
      <c r="H108" s="183"/>
      <c r="I108" s="183"/>
      <c r="J108" s="183"/>
      <c r="K108" s="183"/>
      <c r="L108" s="469"/>
      <c r="M108" s="183"/>
      <c r="N108" s="183"/>
      <c r="O108" s="183"/>
      <c r="P108" s="183"/>
      <c r="Q108" s="183"/>
      <c r="R108" s="183"/>
      <c r="S108" s="183"/>
      <c r="T108" s="183"/>
      <c r="U108" s="183"/>
      <c r="V108" s="183"/>
      <c r="W108" s="183"/>
      <c r="X108" s="183"/>
      <c r="Y108" s="183"/>
      <c r="Z108" s="183"/>
      <c r="AA108" s="183"/>
      <c r="AB108" s="183"/>
      <c r="AC108" s="183"/>
      <c r="AD108" s="183"/>
      <c r="AE108" s="183"/>
      <c r="AF108" s="183"/>
      <c r="AG108" s="183"/>
    </row>
    <row r="109" spans="1:33" ht="36" customHeight="1" x14ac:dyDescent="0.15">
      <c r="A109" s="183"/>
      <c r="B109" s="183"/>
      <c r="C109" s="183"/>
      <c r="D109" s="468" t="s">
        <v>1285</v>
      </c>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c r="AA109" s="183"/>
      <c r="AB109" s="183"/>
      <c r="AC109" s="183"/>
      <c r="AD109" s="183"/>
      <c r="AE109" s="183"/>
      <c r="AF109" s="183"/>
      <c r="AG109" s="183"/>
    </row>
    <row r="110" spans="1:33" ht="20.100000000000001" customHeight="1" x14ac:dyDescent="0.15">
      <c r="A110" s="183"/>
      <c r="B110" s="183"/>
      <c r="C110" s="183"/>
      <c r="D110" s="183"/>
      <c r="E110" s="468" t="s">
        <v>1288</v>
      </c>
      <c r="F110" s="183" t="s">
        <v>1284</v>
      </c>
      <c r="G110" s="183"/>
      <c r="H110" s="183"/>
      <c r="I110" s="183"/>
      <c r="J110" s="183"/>
      <c r="K110" s="183"/>
      <c r="L110" s="183"/>
      <c r="M110" s="183"/>
      <c r="N110" s="183"/>
      <c r="O110" s="183"/>
      <c r="P110" s="183"/>
      <c r="Q110" s="183"/>
      <c r="R110" s="183"/>
      <c r="S110" s="183"/>
      <c r="T110" s="183"/>
      <c r="U110" s="183"/>
      <c r="V110" s="183"/>
      <c r="W110" s="183"/>
      <c r="X110" s="183"/>
      <c r="Y110" s="183"/>
      <c r="Z110" s="183"/>
      <c r="AA110" s="183"/>
      <c r="AB110" s="183"/>
      <c r="AC110" s="183"/>
      <c r="AD110" s="183"/>
      <c r="AE110" s="183"/>
      <c r="AF110" s="183"/>
      <c r="AG110" s="183"/>
    </row>
    <row r="111" spans="1:33" ht="20.100000000000001" customHeight="1" x14ac:dyDescent="0.15">
      <c r="A111" s="183"/>
      <c r="B111" s="183"/>
      <c r="C111" s="183"/>
      <c r="D111" s="183"/>
      <c r="E111" s="468" t="s">
        <v>1289</v>
      </c>
      <c r="F111" s="183" t="s">
        <v>1290</v>
      </c>
      <c r="G111" s="183"/>
      <c r="H111" s="183"/>
      <c r="I111" s="183"/>
      <c r="J111" s="183"/>
      <c r="K111" s="466">
        <f>ROUND(IF(AND(I23=1,I24=1),(L23*L24),IF(AND(I23=1,I24=2),L23*K24,IF(AND(I23=2,I24=2),(K23*K24)))),0)</f>
        <v>1500</v>
      </c>
      <c r="L111" s="183" t="s">
        <v>1229</v>
      </c>
      <c r="M111" s="183"/>
      <c r="N111" s="183"/>
      <c r="O111" s="183"/>
      <c r="P111" s="183"/>
      <c r="Q111" s="183"/>
      <c r="R111" s="183"/>
      <c r="S111" s="183"/>
      <c r="T111" s="183"/>
      <c r="U111" s="183"/>
      <c r="V111" s="183"/>
      <c r="W111" s="183"/>
      <c r="X111" s="183"/>
      <c r="Y111" s="183"/>
      <c r="Z111" s="183"/>
      <c r="AA111" s="183"/>
      <c r="AB111" s="183"/>
      <c r="AC111" s="183"/>
      <c r="AD111" s="183"/>
      <c r="AE111" s="183"/>
      <c r="AF111" s="183"/>
      <c r="AG111" s="183"/>
    </row>
    <row r="112" spans="1:33" ht="20.100000000000001" customHeight="1" x14ac:dyDescent="0.15">
      <c r="A112" s="183"/>
      <c r="B112" s="183"/>
      <c r="C112" s="183"/>
      <c r="D112" s="783" t="s">
        <v>1273</v>
      </c>
      <c r="E112" s="231">
        <f>MIN(K111:K111)</f>
        <v>1500</v>
      </c>
      <c r="F112" s="232">
        <f>K90</f>
        <v>285</v>
      </c>
      <c r="G112" s="782" t="s">
        <v>1273</v>
      </c>
      <c r="H112" s="782">
        <f>ROUND((E112-F112)/E113,0)</f>
        <v>235</v>
      </c>
      <c r="I112" s="782"/>
      <c r="J112" s="782" t="s">
        <v>317</v>
      </c>
      <c r="K112" s="183"/>
      <c r="L112" s="183"/>
      <c r="M112" s="183"/>
      <c r="N112" s="183"/>
      <c r="O112" s="183"/>
      <c r="P112" s="183"/>
      <c r="Q112" s="183"/>
      <c r="R112" s="183"/>
      <c r="S112" s="183"/>
      <c r="T112" s="183"/>
      <c r="U112" s="183"/>
      <c r="V112" s="183"/>
      <c r="W112" s="183"/>
      <c r="X112" s="183"/>
      <c r="Y112" s="183"/>
      <c r="Z112" s="183"/>
      <c r="AA112" s="183"/>
      <c r="AB112" s="183"/>
      <c r="AC112" s="183"/>
      <c r="AD112" s="183"/>
      <c r="AE112" s="183"/>
      <c r="AF112" s="183"/>
      <c r="AG112" s="183"/>
    </row>
    <row r="113" spans="1:33" ht="20.100000000000001" customHeight="1" x14ac:dyDescent="0.15">
      <c r="A113" s="183"/>
      <c r="B113" s="183"/>
      <c r="C113" s="183"/>
      <c r="D113" s="783"/>
      <c r="E113" s="815">
        <f>E106</f>
        <v>5.181</v>
      </c>
      <c r="F113" s="815"/>
      <c r="G113" s="782"/>
      <c r="H113" s="782"/>
      <c r="I113" s="782"/>
      <c r="J113" s="782"/>
      <c r="K113" s="183"/>
      <c r="L113" s="183"/>
      <c r="M113" s="183"/>
      <c r="N113" s="183"/>
      <c r="O113" s="183"/>
      <c r="P113" s="183"/>
      <c r="Q113" s="183"/>
      <c r="R113" s="183"/>
      <c r="S113" s="183"/>
      <c r="T113" s="183"/>
      <c r="U113" s="183"/>
      <c r="V113" s="183"/>
      <c r="W113" s="183"/>
      <c r="X113" s="183"/>
      <c r="Y113" s="183"/>
      <c r="Z113" s="183"/>
      <c r="AA113" s="183"/>
      <c r="AB113" s="183"/>
      <c r="AC113" s="183"/>
      <c r="AD113" s="183"/>
      <c r="AE113" s="183"/>
      <c r="AF113" s="183"/>
      <c r="AG113" s="183"/>
    </row>
    <row r="114" spans="1:33" ht="20.100000000000001" customHeight="1" x14ac:dyDescent="0.15">
      <c r="A114" s="183"/>
      <c r="B114" s="183"/>
      <c r="C114" s="183"/>
      <c r="D114" s="466"/>
      <c r="E114" s="466"/>
      <c r="F114" s="466"/>
      <c r="G114" s="466"/>
      <c r="H114" s="466"/>
      <c r="I114" s="466"/>
      <c r="J114" s="466"/>
      <c r="K114" s="183"/>
      <c r="L114" s="183"/>
      <c r="M114" s="183"/>
      <c r="N114" s="183"/>
      <c r="O114" s="183"/>
      <c r="P114" s="183"/>
      <c r="Q114" s="183"/>
      <c r="R114" s="183"/>
      <c r="S114" s="183"/>
      <c r="T114" s="183"/>
      <c r="U114" s="183"/>
      <c r="V114" s="183"/>
      <c r="W114" s="183"/>
      <c r="X114" s="183"/>
      <c r="Y114" s="183"/>
      <c r="Z114" s="183"/>
      <c r="AA114" s="183"/>
      <c r="AB114" s="183"/>
      <c r="AC114" s="183"/>
      <c r="AD114" s="183"/>
      <c r="AE114" s="183"/>
      <c r="AF114" s="183"/>
      <c r="AG114" s="183"/>
    </row>
    <row r="115" spans="1:33" ht="20.100000000000001" customHeight="1" x14ac:dyDescent="0.15">
      <c r="A115" s="183"/>
      <c r="B115" s="183"/>
      <c r="C115" s="183"/>
      <c r="D115" s="466"/>
      <c r="E115" s="466"/>
      <c r="F115" s="466"/>
      <c r="G115" s="466"/>
      <c r="H115" s="466"/>
      <c r="I115" s="466"/>
      <c r="J115" s="466"/>
      <c r="K115" s="183"/>
      <c r="L115" s="183"/>
      <c r="M115" s="183"/>
      <c r="N115" s="183"/>
      <c r="O115" s="183"/>
      <c r="P115" s="183"/>
      <c r="Q115" s="183"/>
      <c r="R115" s="183"/>
      <c r="S115" s="183"/>
      <c r="T115" s="183"/>
      <c r="U115" s="183"/>
      <c r="V115" s="183"/>
      <c r="W115" s="183"/>
      <c r="X115" s="183"/>
      <c r="Y115" s="183"/>
      <c r="Z115" s="183"/>
      <c r="AA115" s="183"/>
      <c r="AB115" s="183"/>
      <c r="AC115" s="183"/>
      <c r="AD115" s="183"/>
      <c r="AE115" s="183"/>
      <c r="AF115" s="183"/>
      <c r="AG115" s="183"/>
    </row>
    <row r="116" spans="1:33" ht="20.100000000000001" customHeight="1" x14ac:dyDescent="0.15">
      <c r="A116" s="183"/>
      <c r="B116" s="183"/>
      <c r="C116" s="183"/>
      <c r="D116" s="466"/>
      <c r="E116" s="466"/>
      <c r="F116" s="466"/>
      <c r="G116" s="466"/>
      <c r="H116" s="466"/>
      <c r="I116" s="466"/>
      <c r="J116" s="466"/>
      <c r="K116" s="183"/>
      <c r="L116" s="183"/>
      <c r="M116" s="183"/>
      <c r="N116" s="183"/>
      <c r="O116" s="183"/>
      <c r="P116" s="183"/>
      <c r="Q116" s="183"/>
      <c r="R116" s="183"/>
      <c r="S116" s="183"/>
      <c r="T116" s="183"/>
      <c r="U116" s="183"/>
      <c r="V116" s="183"/>
      <c r="W116" s="183"/>
      <c r="X116" s="183"/>
      <c r="Y116" s="183"/>
      <c r="Z116" s="183"/>
      <c r="AA116" s="183"/>
      <c r="AB116" s="183"/>
      <c r="AC116" s="183"/>
      <c r="AD116" s="183"/>
      <c r="AE116" s="183"/>
      <c r="AF116" s="183"/>
      <c r="AG116" s="183"/>
    </row>
    <row r="117" spans="1:33" ht="20.100000000000001" customHeight="1" x14ac:dyDescent="0.15">
      <c r="A117" s="183"/>
      <c r="B117" s="183"/>
      <c r="C117" s="183"/>
      <c r="D117" s="466"/>
      <c r="E117" s="466"/>
      <c r="F117" s="466"/>
      <c r="G117" s="466"/>
      <c r="H117" s="466"/>
      <c r="I117" s="466"/>
      <c r="J117" s="466"/>
      <c r="K117" s="183"/>
      <c r="L117" s="183"/>
      <c r="M117" s="183"/>
      <c r="N117" s="183"/>
      <c r="O117" s="183"/>
      <c r="P117" s="183"/>
      <c r="Q117" s="183"/>
      <c r="R117" s="183"/>
      <c r="S117" s="183"/>
      <c r="T117" s="183"/>
      <c r="U117" s="183"/>
      <c r="V117" s="183"/>
      <c r="W117" s="183"/>
      <c r="X117" s="183"/>
      <c r="Y117" s="183"/>
      <c r="Z117" s="183"/>
      <c r="AA117" s="183"/>
      <c r="AB117" s="183"/>
      <c r="AC117" s="183"/>
      <c r="AD117" s="183"/>
      <c r="AE117" s="183"/>
      <c r="AF117" s="183"/>
      <c r="AG117" s="183"/>
    </row>
    <row r="118" spans="1:33" ht="20.100000000000001" customHeight="1" x14ac:dyDescent="0.15">
      <c r="A118" s="183"/>
      <c r="B118" s="183"/>
      <c r="C118" s="183"/>
      <c r="D118" s="466"/>
      <c r="E118" s="466"/>
      <c r="F118" s="466"/>
      <c r="G118" s="466"/>
      <c r="H118" s="466"/>
      <c r="I118" s="466"/>
      <c r="J118" s="466"/>
      <c r="K118" s="183"/>
      <c r="L118" s="183"/>
      <c r="M118" s="183"/>
      <c r="N118" s="183"/>
      <c r="O118" s="183"/>
      <c r="P118" s="183"/>
      <c r="Q118" s="183"/>
      <c r="R118" s="183"/>
      <c r="S118" s="183"/>
      <c r="T118" s="183"/>
      <c r="U118" s="183"/>
      <c r="V118" s="183"/>
      <c r="W118" s="183"/>
      <c r="X118" s="183"/>
      <c r="Y118" s="183"/>
      <c r="Z118" s="183"/>
      <c r="AA118" s="183"/>
      <c r="AB118" s="183"/>
      <c r="AC118" s="183"/>
      <c r="AD118" s="183"/>
      <c r="AE118" s="183"/>
      <c r="AF118" s="183"/>
      <c r="AG118" s="183"/>
    </row>
    <row r="119" spans="1:33" ht="20.100000000000001" customHeight="1" x14ac:dyDescent="0.15">
      <c r="A119" s="183"/>
      <c r="B119" s="183"/>
      <c r="C119" s="183"/>
      <c r="D119" s="466"/>
      <c r="E119" s="466"/>
      <c r="F119" s="466"/>
      <c r="G119" s="466"/>
      <c r="H119" s="466"/>
      <c r="I119" s="466"/>
      <c r="J119" s="466"/>
      <c r="K119" s="183"/>
      <c r="L119" s="183"/>
      <c r="M119" s="183"/>
      <c r="N119" s="183"/>
      <c r="O119" s="183"/>
      <c r="P119" s="183"/>
      <c r="Q119" s="183"/>
      <c r="R119" s="183"/>
      <c r="S119" s="183"/>
      <c r="T119" s="183"/>
      <c r="U119" s="183"/>
      <c r="V119" s="183"/>
      <c r="W119" s="183"/>
      <c r="X119" s="183"/>
      <c r="Y119" s="183"/>
      <c r="Z119" s="183"/>
      <c r="AA119" s="183"/>
      <c r="AB119" s="183"/>
      <c r="AC119" s="183"/>
      <c r="AD119" s="183"/>
      <c r="AE119" s="183"/>
      <c r="AF119" s="183"/>
      <c r="AG119" s="183"/>
    </row>
    <row r="120" spans="1:33" ht="20.100000000000001" customHeight="1" x14ac:dyDescent="0.15">
      <c r="A120" s="183"/>
      <c r="B120" s="183"/>
      <c r="C120" s="183"/>
      <c r="D120" s="466"/>
      <c r="E120" s="466"/>
      <c r="F120" s="466"/>
      <c r="G120" s="466"/>
      <c r="H120" s="466"/>
      <c r="I120" s="466"/>
      <c r="J120" s="466"/>
      <c r="K120" s="183"/>
      <c r="L120" s="183"/>
      <c r="M120" s="183"/>
      <c r="N120" s="183"/>
      <c r="O120" s="183"/>
      <c r="P120" s="183"/>
      <c r="Q120" s="183"/>
      <c r="R120" s="183"/>
      <c r="S120" s="183"/>
      <c r="T120" s="183"/>
      <c r="U120" s="183"/>
      <c r="V120" s="183"/>
      <c r="W120" s="183"/>
      <c r="X120" s="183"/>
      <c r="Y120" s="183"/>
      <c r="Z120" s="183"/>
      <c r="AA120" s="183"/>
      <c r="AB120" s="183"/>
      <c r="AC120" s="183"/>
      <c r="AD120" s="183"/>
      <c r="AE120" s="183"/>
      <c r="AF120" s="183"/>
      <c r="AG120" s="183"/>
    </row>
    <row r="121" spans="1:33" ht="20.100000000000001" customHeight="1" x14ac:dyDescent="0.15">
      <c r="A121" s="183"/>
      <c r="B121" s="183"/>
      <c r="C121" s="183"/>
      <c r="D121" s="466"/>
      <c r="E121" s="466"/>
      <c r="F121" s="466"/>
      <c r="G121" s="466"/>
      <c r="H121" s="466"/>
      <c r="I121" s="466"/>
      <c r="J121" s="466"/>
      <c r="K121" s="183"/>
      <c r="L121" s="183"/>
      <c r="M121" s="183"/>
      <c r="N121" s="183"/>
      <c r="O121" s="183"/>
      <c r="P121" s="183"/>
      <c r="Q121" s="183"/>
      <c r="R121" s="183"/>
      <c r="S121" s="183"/>
      <c r="T121" s="183"/>
      <c r="U121" s="183"/>
      <c r="V121" s="183"/>
      <c r="W121" s="183"/>
      <c r="X121" s="183"/>
      <c r="Y121" s="183"/>
      <c r="Z121" s="183"/>
      <c r="AA121" s="183"/>
      <c r="AB121" s="183"/>
      <c r="AC121" s="183"/>
      <c r="AD121" s="183"/>
      <c r="AE121" s="183"/>
      <c r="AF121" s="183"/>
      <c r="AG121" s="183"/>
    </row>
    <row r="122" spans="1:33" ht="20.100000000000001" customHeight="1" x14ac:dyDescent="0.15">
      <c r="A122" s="183"/>
      <c r="B122" s="183"/>
      <c r="C122" s="183"/>
      <c r="D122" s="466"/>
      <c r="E122" s="466"/>
      <c r="F122" s="466"/>
      <c r="G122" s="466"/>
      <c r="H122" s="466"/>
      <c r="I122" s="466"/>
      <c r="J122" s="466"/>
      <c r="K122" s="183"/>
      <c r="L122" s="183"/>
      <c r="M122" s="183"/>
      <c r="N122" s="183"/>
      <c r="O122" s="183"/>
      <c r="P122" s="183"/>
      <c r="Q122" s="183"/>
      <c r="R122" s="183"/>
      <c r="S122" s="183"/>
      <c r="T122" s="183"/>
      <c r="U122" s="183"/>
      <c r="V122" s="183"/>
      <c r="W122" s="183"/>
      <c r="X122" s="183"/>
      <c r="Y122" s="183"/>
      <c r="Z122" s="183"/>
      <c r="AA122" s="183"/>
      <c r="AB122" s="183"/>
      <c r="AC122" s="183"/>
      <c r="AD122" s="183"/>
      <c r="AE122" s="183"/>
      <c r="AF122" s="183"/>
      <c r="AG122" s="183"/>
    </row>
    <row r="123" spans="1:33" ht="20.100000000000001" customHeight="1" x14ac:dyDescent="0.15">
      <c r="A123" s="183"/>
      <c r="B123" s="183"/>
      <c r="C123" s="183"/>
      <c r="D123" s="466"/>
      <c r="E123" s="466"/>
      <c r="F123" s="466"/>
      <c r="G123" s="466"/>
      <c r="H123" s="466"/>
      <c r="I123" s="466"/>
      <c r="J123" s="466"/>
      <c r="K123" s="183"/>
      <c r="L123" s="183"/>
      <c r="M123" s="183"/>
      <c r="N123" s="183"/>
      <c r="O123" s="183"/>
      <c r="P123" s="183"/>
      <c r="Q123" s="183"/>
      <c r="R123" s="183"/>
      <c r="S123" s="183"/>
      <c r="T123" s="183"/>
      <c r="U123" s="183"/>
      <c r="V123" s="183"/>
      <c r="W123" s="183"/>
      <c r="X123" s="183"/>
      <c r="Y123" s="183"/>
      <c r="Z123" s="183"/>
      <c r="AA123" s="183"/>
      <c r="AB123" s="183"/>
      <c r="AC123" s="183"/>
      <c r="AD123" s="183"/>
      <c r="AE123" s="183"/>
      <c r="AF123" s="183"/>
      <c r="AG123" s="183"/>
    </row>
    <row r="124" spans="1:33" ht="20.100000000000001" customHeight="1" x14ac:dyDescent="0.15">
      <c r="A124" s="183"/>
      <c r="B124" s="467" t="s">
        <v>1291</v>
      </c>
      <c r="C124" s="780" t="s">
        <v>1292</v>
      </c>
      <c r="D124" s="780"/>
      <c r="E124" s="780"/>
      <c r="F124" s="466"/>
      <c r="G124" s="466"/>
      <c r="H124" s="466"/>
      <c r="I124" s="466"/>
      <c r="J124" s="466"/>
      <c r="K124" s="183"/>
      <c r="L124" s="183"/>
      <c r="M124" s="183"/>
      <c r="N124" s="183"/>
      <c r="O124" s="183"/>
      <c r="P124" s="183"/>
      <c r="Q124" s="183"/>
      <c r="R124" s="183"/>
      <c r="S124" s="183"/>
      <c r="T124" s="183"/>
      <c r="U124" s="183"/>
      <c r="V124" s="183"/>
      <c r="W124" s="183"/>
      <c r="X124" s="183"/>
      <c r="Y124" s="183"/>
      <c r="Z124" s="183"/>
      <c r="AA124" s="183"/>
      <c r="AB124" s="183"/>
      <c r="AC124" s="183"/>
      <c r="AD124" s="183"/>
      <c r="AE124" s="183"/>
      <c r="AF124" s="183"/>
      <c r="AG124" s="183"/>
    </row>
    <row r="125" spans="1:33" ht="20.100000000000001" customHeight="1" x14ac:dyDescent="0.15">
      <c r="A125" s="183"/>
      <c r="B125" s="183"/>
      <c r="C125" s="183"/>
      <c r="D125" s="183"/>
      <c r="E125" s="782" t="s">
        <v>1293</v>
      </c>
      <c r="F125" s="782"/>
      <c r="G125" s="782"/>
      <c r="H125" s="782"/>
      <c r="I125" s="782"/>
      <c r="J125" s="782"/>
      <c r="K125" s="183"/>
      <c r="L125" s="183"/>
      <c r="M125" s="183"/>
      <c r="N125" s="183"/>
      <c r="O125" s="183"/>
      <c r="P125" s="183"/>
      <c r="Q125" s="183"/>
      <c r="R125" s="183"/>
      <c r="S125" s="183"/>
      <c r="T125" s="183"/>
      <c r="U125" s="183"/>
      <c r="V125" s="183"/>
      <c r="W125" s="183"/>
      <c r="X125" s="183"/>
      <c r="Y125" s="183"/>
      <c r="Z125" s="183"/>
      <c r="AA125" s="183"/>
      <c r="AB125" s="183"/>
      <c r="AC125" s="183"/>
      <c r="AD125" s="183"/>
      <c r="AE125" s="183"/>
      <c r="AF125" s="183"/>
      <c r="AG125" s="183"/>
    </row>
    <row r="126" spans="1:33" ht="20.100000000000001" customHeight="1" x14ac:dyDescent="0.15">
      <c r="A126" s="183"/>
      <c r="B126" s="183"/>
      <c r="C126" s="776" t="s">
        <v>1294</v>
      </c>
      <c r="D126" s="776"/>
      <c r="E126" s="776"/>
      <c r="F126" s="776"/>
      <c r="G126" s="776">
        <f>K140</f>
        <v>100</v>
      </c>
      <c r="H126" s="776"/>
      <c r="I126" s="776"/>
      <c r="J126" s="776"/>
      <c r="K126" s="776" t="s">
        <v>1295</v>
      </c>
      <c r="L126" s="183"/>
      <c r="M126" s="183"/>
      <c r="N126" s="183"/>
      <c r="O126" s="183"/>
      <c r="P126" s="183"/>
      <c r="Q126" s="183"/>
      <c r="R126" s="183"/>
      <c r="S126" s="183"/>
      <c r="T126" s="183"/>
      <c r="U126" s="183"/>
      <c r="V126" s="183"/>
      <c r="W126" s="183"/>
      <c r="X126" s="183"/>
      <c r="Y126" s="183"/>
      <c r="Z126" s="183"/>
      <c r="AA126" s="183"/>
      <c r="AB126" s="183"/>
      <c r="AC126" s="183"/>
      <c r="AD126" s="183"/>
      <c r="AE126" s="183"/>
      <c r="AF126" s="183"/>
      <c r="AG126" s="183"/>
    </row>
    <row r="127" spans="1:33" ht="20.100000000000001" customHeight="1" x14ac:dyDescent="0.15">
      <c r="A127" s="183"/>
      <c r="B127" s="183"/>
      <c r="C127" s="776" t="s">
        <v>1296</v>
      </c>
      <c r="D127" s="776"/>
      <c r="E127" s="776"/>
      <c r="F127" s="776"/>
      <c r="G127" s="776">
        <f>K94</f>
        <v>803.1</v>
      </c>
      <c r="H127" s="776"/>
      <c r="I127" s="776"/>
      <c r="J127" s="776"/>
      <c r="K127" s="776"/>
      <c r="L127" s="183"/>
      <c r="M127" s="183"/>
      <c r="N127" s="183"/>
      <c r="O127" s="183"/>
      <c r="P127" s="183"/>
      <c r="Q127" s="183"/>
      <c r="R127" s="183"/>
      <c r="S127" s="183"/>
      <c r="T127" s="183"/>
      <c r="U127" s="183"/>
      <c r="V127" s="183"/>
      <c r="W127" s="183"/>
      <c r="X127" s="183"/>
      <c r="Y127" s="183"/>
      <c r="Z127" s="183"/>
      <c r="AA127" s="183"/>
      <c r="AB127" s="183"/>
      <c r="AC127" s="183"/>
      <c r="AD127" s="183"/>
      <c r="AE127" s="183"/>
      <c r="AF127" s="183"/>
      <c r="AG127" s="183"/>
    </row>
    <row r="128" spans="1:33" ht="39" customHeight="1" x14ac:dyDescent="0.15">
      <c r="A128" s="183"/>
      <c r="B128" s="183"/>
      <c r="C128" s="820" t="s">
        <v>1297</v>
      </c>
      <c r="D128" s="820"/>
      <c r="E128" s="776" t="s">
        <v>1298</v>
      </c>
      <c r="F128" s="776"/>
      <c r="G128" s="781" t="s">
        <v>1299</v>
      </c>
      <c r="H128" s="781"/>
      <c r="I128" s="781" t="s">
        <v>1300</v>
      </c>
      <c r="J128" s="781"/>
      <c r="K128" s="776" t="str">
        <f>IF(AND(K5&lt;3,G129&gt;G133),"×",IF(AND(K5&lt;3,G129&lt;G133),"○",IF(AND(K5&gt;2,I129&gt;I133),"×","○")))</f>
        <v>○</v>
      </c>
      <c r="L128" s="183"/>
      <c r="M128" s="183"/>
      <c r="N128" s="183"/>
      <c r="O128" s="183"/>
      <c r="P128" s="183"/>
      <c r="Q128" s="183"/>
      <c r="R128" s="183"/>
      <c r="S128" s="183"/>
      <c r="T128" s="183"/>
      <c r="U128" s="183"/>
      <c r="V128" s="183"/>
      <c r="W128" s="183"/>
      <c r="X128" s="183"/>
      <c r="Y128" s="183"/>
      <c r="Z128" s="183"/>
      <c r="AA128" s="183"/>
      <c r="AB128" s="183"/>
      <c r="AC128" s="183"/>
      <c r="AD128" s="183"/>
      <c r="AE128" s="183"/>
      <c r="AF128" s="183"/>
      <c r="AG128" s="183"/>
    </row>
    <row r="129" spans="1:33" ht="20.100000000000001" customHeight="1" x14ac:dyDescent="0.15">
      <c r="A129" s="183"/>
      <c r="B129" s="183"/>
      <c r="C129" s="820"/>
      <c r="D129" s="820"/>
      <c r="E129" s="776" t="s">
        <v>1301</v>
      </c>
      <c r="F129" s="776"/>
      <c r="G129" s="238">
        <f>E101</f>
        <v>948.99999999999989</v>
      </c>
      <c r="H129" s="465" t="s">
        <v>1302</v>
      </c>
      <c r="I129" s="238">
        <f>J101</f>
        <v>1277.5</v>
      </c>
      <c r="J129" s="465" t="s">
        <v>1302</v>
      </c>
      <c r="K129" s="776"/>
      <c r="L129" s="183"/>
      <c r="M129" s="183"/>
      <c r="N129" s="183"/>
      <c r="O129" s="183"/>
      <c r="P129" s="183"/>
      <c r="Q129" s="183"/>
      <c r="R129" s="183"/>
      <c r="S129" s="183"/>
      <c r="T129" s="183"/>
      <c r="U129" s="183"/>
      <c r="V129" s="183"/>
      <c r="W129" s="183"/>
      <c r="X129" s="183"/>
      <c r="Y129" s="183"/>
      <c r="Z129" s="183"/>
      <c r="AA129" s="183"/>
      <c r="AB129" s="183"/>
      <c r="AC129" s="183"/>
      <c r="AD129" s="183"/>
      <c r="AE129" s="183"/>
      <c r="AF129" s="183"/>
      <c r="AG129" s="183"/>
    </row>
    <row r="130" spans="1:33" ht="20.100000000000001" customHeight="1" x14ac:dyDescent="0.15">
      <c r="A130" s="183"/>
      <c r="B130" s="183"/>
      <c r="C130" s="820"/>
      <c r="D130" s="820"/>
      <c r="E130" s="776" t="s">
        <v>1284</v>
      </c>
      <c r="F130" s="776"/>
      <c r="G130" s="239">
        <f>E107</f>
        <v>128</v>
      </c>
      <c r="H130" s="465" t="s">
        <v>1303</v>
      </c>
      <c r="I130" s="239">
        <f>J107</f>
        <v>192</v>
      </c>
      <c r="J130" s="465" t="s">
        <v>1303</v>
      </c>
      <c r="K130" s="776"/>
      <c r="L130" s="183"/>
      <c r="M130" s="183"/>
      <c r="N130" s="183"/>
      <c r="O130" s="183"/>
      <c r="P130" s="183"/>
      <c r="Q130" s="183"/>
      <c r="R130" s="183"/>
      <c r="S130" s="183"/>
      <c r="T130" s="183"/>
      <c r="U130" s="183"/>
      <c r="V130" s="183"/>
      <c r="W130" s="183"/>
      <c r="X130" s="183"/>
      <c r="Y130" s="183"/>
      <c r="Z130" s="183"/>
      <c r="AA130" s="183"/>
      <c r="AB130" s="183"/>
      <c r="AC130" s="183"/>
      <c r="AD130" s="183"/>
      <c r="AE130" s="183"/>
      <c r="AF130" s="183"/>
      <c r="AG130" s="183"/>
    </row>
    <row r="131" spans="1:33" ht="20.100000000000001" customHeight="1" x14ac:dyDescent="0.15">
      <c r="A131" s="183"/>
      <c r="B131" s="183"/>
      <c r="C131" s="820"/>
      <c r="D131" s="820"/>
      <c r="E131" s="776" t="s">
        <v>1304</v>
      </c>
      <c r="F131" s="776"/>
      <c r="G131" s="776" t="str">
        <f>IF(G130&gt;=G126,"○","×")</f>
        <v>○</v>
      </c>
      <c r="H131" s="776"/>
      <c r="I131" s="776" t="str">
        <f>IF(I130&gt;=G126,"○","×")</f>
        <v>○</v>
      </c>
      <c r="J131" s="776"/>
      <c r="K131" s="776"/>
      <c r="L131" s="183"/>
      <c r="M131" s="183"/>
      <c r="N131" s="183"/>
      <c r="O131" s="183"/>
      <c r="P131" s="183"/>
      <c r="Q131" s="183"/>
      <c r="R131" s="183"/>
      <c r="S131" s="183"/>
      <c r="T131" s="183"/>
      <c r="U131" s="183"/>
      <c r="V131" s="183"/>
      <c r="W131" s="183"/>
      <c r="X131" s="183"/>
      <c r="Y131" s="183"/>
      <c r="Z131" s="183"/>
      <c r="AA131" s="183"/>
      <c r="AB131" s="183"/>
      <c r="AC131" s="183"/>
      <c r="AD131" s="183"/>
      <c r="AE131" s="183"/>
      <c r="AF131" s="183"/>
      <c r="AG131" s="183"/>
    </row>
    <row r="132" spans="1:33" ht="40.5" customHeight="1" x14ac:dyDescent="0.15">
      <c r="A132" s="183"/>
      <c r="B132" s="183"/>
      <c r="C132" s="781" t="s">
        <v>1305</v>
      </c>
      <c r="D132" s="781"/>
      <c r="E132" s="776" t="s">
        <v>1298</v>
      </c>
      <c r="F132" s="776"/>
      <c r="G132" s="781" t="s">
        <v>1299</v>
      </c>
      <c r="H132" s="781"/>
      <c r="I132" s="781" t="s">
        <v>1300</v>
      </c>
      <c r="J132" s="781"/>
      <c r="K132" s="776" t="str">
        <f>IF(AND(K5&lt;3,G133&gt;G129),"×",IF(AND(K5&lt;3,G133&lt;G129),"○",IF(AND(K5&gt;2,G133&gt;G129),"×","○")))</f>
        <v>×</v>
      </c>
      <c r="L132" s="183"/>
      <c r="M132" s="183"/>
      <c r="N132" s="183"/>
      <c r="O132" s="183"/>
      <c r="P132" s="183"/>
      <c r="Q132" s="183"/>
      <c r="R132" s="183"/>
      <c r="S132" s="183"/>
      <c r="T132" s="183"/>
      <c r="U132" s="183"/>
      <c r="V132" s="183"/>
      <c r="W132" s="183"/>
      <c r="X132" s="183"/>
      <c r="Y132" s="183"/>
      <c r="Z132" s="183"/>
      <c r="AA132" s="183"/>
      <c r="AB132" s="183"/>
      <c r="AC132" s="183"/>
      <c r="AD132" s="183"/>
      <c r="AE132" s="183"/>
      <c r="AF132" s="183"/>
      <c r="AG132" s="183"/>
    </row>
    <row r="133" spans="1:33" ht="20.100000000000001" customHeight="1" x14ac:dyDescent="0.15">
      <c r="A133" s="183"/>
      <c r="B133" s="183"/>
      <c r="C133" s="781"/>
      <c r="D133" s="781"/>
      <c r="E133" s="781" t="s">
        <v>1306</v>
      </c>
      <c r="F133" s="781"/>
      <c r="G133" s="777">
        <f>K111</f>
        <v>1500</v>
      </c>
      <c r="H133" s="779" t="s">
        <v>1302</v>
      </c>
      <c r="I133" s="777">
        <f>G133</f>
        <v>1500</v>
      </c>
      <c r="J133" s="779" t="s">
        <v>1302</v>
      </c>
      <c r="K133" s="776"/>
      <c r="L133" s="183"/>
      <c r="M133" s="183"/>
      <c r="N133" s="183"/>
      <c r="O133" s="183"/>
      <c r="P133" s="183"/>
      <c r="Q133" s="183"/>
      <c r="R133" s="183"/>
      <c r="S133" s="183"/>
      <c r="T133" s="183"/>
      <c r="U133" s="183"/>
      <c r="V133" s="183"/>
      <c r="W133" s="183"/>
      <c r="X133" s="183"/>
      <c r="Y133" s="183"/>
      <c r="Z133" s="183"/>
      <c r="AA133" s="183"/>
      <c r="AB133" s="183"/>
      <c r="AC133" s="183"/>
      <c r="AD133" s="183"/>
      <c r="AE133" s="183"/>
      <c r="AF133" s="183"/>
      <c r="AG133" s="183"/>
    </row>
    <row r="134" spans="1:33" ht="20.100000000000001" customHeight="1" x14ac:dyDescent="0.15">
      <c r="A134" s="183"/>
      <c r="B134" s="183"/>
      <c r="C134" s="781"/>
      <c r="D134" s="781"/>
      <c r="E134" s="781"/>
      <c r="F134" s="781"/>
      <c r="G134" s="777"/>
      <c r="H134" s="779"/>
      <c r="I134" s="777"/>
      <c r="J134" s="779"/>
      <c r="K134" s="776"/>
      <c r="L134" s="183"/>
      <c r="M134" s="183"/>
      <c r="N134" s="183"/>
      <c r="O134" s="183"/>
      <c r="P134" s="183"/>
      <c r="Q134" s="183"/>
      <c r="R134" s="183"/>
      <c r="S134" s="183"/>
      <c r="T134" s="183"/>
      <c r="U134" s="183"/>
      <c r="V134" s="183"/>
      <c r="W134" s="183"/>
      <c r="X134" s="183"/>
      <c r="Y134" s="183"/>
      <c r="Z134" s="183"/>
      <c r="AA134" s="183"/>
      <c r="AB134" s="183"/>
      <c r="AC134" s="183"/>
      <c r="AD134" s="183"/>
      <c r="AE134" s="183"/>
      <c r="AF134" s="183"/>
      <c r="AG134" s="183"/>
    </row>
    <row r="135" spans="1:33" ht="20.100000000000001" customHeight="1" x14ac:dyDescent="0.15">
      <c r="A135" s="183"/>
      <c r="B135" s="183"/>
      <c r="C135" s="781"/>
      <c r="D135" s="781"/>
      <c r="E135" s="776" t="s">
        <v>1284</v>
      </c>
      <c r="F135" s="776"/>
      <c r="G135" s="239">
        <f>H112</f>
        <v>235</v>
      </c>
      <c r="H135" s="465" t="s">
        <v>1303</v>
      </c>
      <c r="I135" s="239">
        <f>G135</f>
        <v>235</v>
      </c>
      <c r="J135" s="465" t="s">
        <v>1303</v>
      </c>
      <c r="K135" s="776"/>
      <c r="L135" s="183"/>
      <c r="M135" s="183"/>
      <c r="N135" s="183"/>
      <c r="O135" s="183"/>
      <c r="P135" s="183"/>
      <c r="Q135" s="183"/>
      <c r="R135" s="183"/>
      <c r="S135" s="183"/>
      <c r="T135" s="183"/>
      <c r="U135" s="183"/>
      <c r="V135" s="183"/>
      <c r="W135" s="183"/>
      <c r="X135" s="183"/>
      <c r="Y135" s="183"/>
      <c r="Z135" s="183"/>
      <c r="AA135" s="183"/>
      <c r="AB135" s="183"/>
      <c r="AC135" s="183"/>
      <c r="AD135" s="183"/>
      <c r="AE135" s="183"/>
      <c r="AF135" s="183"/>
      <c r="AG135" s="183"/>
    </row>
    <row r="136" spans="1:33" ht="20.100000000000001" customHeight="1" x14ac:dyDescent="0.15">
      <c r="A136" s="183"/>
      <c r="B136" s="183"/>
      <c r="C136" s="781"/>
      <c r="D136" s="781"/>
      <c r="E136" s="776" t="s">
        <v>1304</v>
      </c>
      <c r="F136" s="776"/>
      <c r="G136" s="776" t="str">
        <f>IF(G135&gt;=G126,"○","×")</f>
        <v>○</v>
      </c>
      <c r="H136" s="776"/>
      <c r="I136" s="776" t="str">
        <f>IF(I135&gt;=G126,"○","×")</f>
        <v>○</v>
      </c>
      <c r="J136" s="776"/>
      <c r="K136" s="776"/>
      <c r="L136" s="183"/>
      <c r="M136" s="183"/>
      <c r="N136" s="183"/>
      <c r="O136" s="183"/>
      <c r="P136" s="183"/>
      <c r="Q136" s="183"/>
      <c r="R136" s="183"/>
      <c r="S136" s="183"/>
      <c r="T136" s="183"/>
      <c r="U136" s="183"/>
      <c r="V136" s="183"/>
      <c r="W136" s="183"/>
      <c r="X136" s="183"/>
      <c r="Y136" s="183"/>
      <c r="Z136" s="183"/>
      <c r="AA136" s="183"/>
      <c r="AB136" s="183"/>
      <c r="AC136" s="183"/>
      <c r="AD136" s="183"/>
      <c r="AE136" s="183"/>
      <c r="AF136" s="183"/>
      <c r="AG136" s="183"/>
    </row>
    <row r="137" spans="1:33" ht="20.100000000000001" customHeight="1" x14ac:dyDescent="0.15">
      <c r="A137" s="183"/>
      <c r="B137" s="183"/>
      <c r="C137" s="183"/>
      <c r="D137" s="183"/>
      <c r="E137" s="183"/>
      <c r="F137" s="183"/>
      <c r="G137" s="183"/>
      <c r="H137" s="183"/>
      <c r="I137" s="183"/>
      <c r="J137" s="183"/>
      <c r="K137" s="183"/>
      <c r="L137" s="183"/>
      <c r="M137" s="183"/>
      <c r="N137" s="183"/>
      <c r="O137" s="183"/>
      <c r="P137" s="183"/>
      <c r="Q137" s="183"/>
      <c r="R137" s="183"/>
      <c r="S137" s="183"/>
      <c r="T137" s="183"/>
      <c r="U137" s="183"/>
      <c r="V137" s="183"/>
      <c r="W137" s="183"/>
      <c r="X137" s="183"/>
      <c r="Y137" s="183"/>
      <c r="Z137" s="183"/>
      <c r="AA137" s="183"/>
      <c r="AB137" s="183"/>
      <c r="AC137" s="183"/>
      <c r="AD137" s="183"/>
      <c r="AE137" s="183"/>
      <c r="AF137" s="183"/>
      <c r="AG137" s="183"/>
    </row>
    <row r="138" spans="1:33" ht="20.100000000000001" customHeight="1" x14ac:dyDescent="0.15">
      <c r="A138" s="183"/>
      <c r="B138" s="183"/>
      <c r="C138" s="183"/>
      <c r="D138" s="183" t="s">
        <v>1307</v>
      </c>
      <c r="E138" s="183"/>
      <c r="F138" s="183"/>
      <c r="G138" s="782" t="str">
        <f>IF(OR(AND(K5&lt;3,G133&gt;G129),AND(K5&gt;2,I133&gt;I129)),"管の許容耐荷力","元押ジャッキの有効推進力")</f>
        <v>管の許容耐荷力</v>
      </c>
      <c r="H138" s="782"/>
      <c r="I138" s="782"/>
      <c r="J138" s="782"/>
      <c r="K138" s="183" t="s">
        <v>1308</v>
      </c>
      <c r="L138" s="183"/>
      <c r="M138" s="183"/>
      <c r="N138" s="183"/>
      <c r="O138" s="183"/>
      <c r="P138" s="183"/>
      <c r="Q138" s="183"/>
      <c r="R138" s="183"/>
      <c r="S138" s="183"/>
      <c r="T138" s="183"/>
      <c r="U138" s="183"/>
      <c r="V138" s="183"/>
      <c r="W138" s="183"/>
      <c r="X138" s="183"/>
      <c r="Y138" s="183"/>
      <c r="Z138" s="183"/>
      <c r="AA138" s="183"/>
      <c r="AB138" s="183"/>
      <c r="AC138" s="183"/>
      <c r="AD138" s="183"/>
      <c r="AE138" s="183"/>
      <c r="AF138" s="183"/>
      <c r="AG138" s="183"/>
    </row>
    <row r="139" spans="1:33" ht="20.100000000000001" customHeight="1" x14ac:dyDescent="0.15">
      <c r="A139" s="183"/>
      <c r="B139" s="183"/>
      <c r="C139" s="183"/>
      <c r="D139" s="183"/>
      <c r="E139" s="466"/>
      <c r="F139" s="466"/>
      <c r="G139" s="466"/>
      <c r="H139" s="466"/>
      <c r="I139" s="466"/>
      <c r="J139" s="466"/>
      <c r="K139" s="183"/>
      <c r="L139" s="183"/>
      <c r="M139" s="183"/>
      <c r="N139" s="183"/>
      <c r="O139" s="183"/>
      <c r="P139" s="183"/>
      <c r="Q139" s="183"/>
      <c r="R139" s="183"/>
      <c r="S139" s="183"/>
      <c r="T139" s="183"/>
      <c r="U139" s="183"/>
      <c r="V139" s="183"/>
      <c r="W139" s="183"/>
      <c r="X139" s="183"/>
      <c r="Y139" s="183"/>
      <c r="Z139" s="183"/>
      <c r="AA139" s="183"/>
      <c r="AB139" s="183"/>
      <c r="AC139" s="183"/>
      <c r="AD139" s="183"/>
      <c r="AE139" s="183"/>
      <c r="AF139" s="183"/>
      <c r="AG139" s="183"/>
    </row>
    <row r="140" spans="1:33" ht="20.100000000000001" customHeight="1" x14ac:dyDescent="0.15">
      <c r="A140" s="183"/>
      <c r="B140" s="183"/>
      <c r="C140" s="183"/>
      <c r="D140" s="183"/>
      <c r="E140" s="468" t="s">
        <v>1309</v>
      </c>
      <c r="F140" s="466">
        <f>IF(K5&lt;3,MIN(E107,H112),MIN(J107,H112))</f>
        <v>128</v>
      </c>
      <c r="G140" s="183" t="s">
        <v>1303</v>
      </c>
      <c r="H140" s="240" t="str">
        <f>IF(F140&gt;=K140,"＞＝","＜")</f>
        <v>＞＝</v>
      </c>
      <c r="I140" s="183" t="s">
        <v>1310</v>
      </c>
      <c r="J140" s="183"/>
      <c r="K140" s="466">
        <f>L21</f>
        <v>100</v>
      </c>
      <c r="L140" s="183" t="s">
        <v>1303</v>
      </c>
      <c r="M140" s="183"/>
      <c r="N140" s="183"/>
      <c r="O140" s="183"/>
      <c r="P140" s="183"/>
      <c r="Q140" s="183"/>
      <c r="R140" s="183"/>
      <c r="S140" s="183"/>
      <c r="T140" s="183"/>
      <c r="U140" s="183"/>
      <c r="V140" s="183"/>
      <c r="W140" s="183"/>
      <c r="X140" s="183"/>
      <c r="Y140" s="183"/>
      <c r="Z140" s="183"/>
      <c r="AA140" s="183"/>
      <c r="AB140" s="183"/>
      <c r="AC140" s="183"/>
      <c r="AD140" s="183"/>
      <c r="AE140" s="183"/>
      <c r="AF140" s="183"/>
      <c r="AG140" s="183"/>
    </row>
    <row r="141" spans="1:33" ht="20.100000000000001" customHeight="1" x14ac:dyDescent="0.15">
      <c r="A141" s="183"/>
      <c r="B141" s="183"/>
      <c r="C141" s="183"/>
      <c r="D141" s="183"/>
      <c r="E141" s="183"/>
      <c r="F141" s="183"/>
      <c r="G141" s="183"/>
      <c r="H141" s="183"/>
      <c r="I141" s="183"/>
      <c r="J141" s="183"/>
      <c r="K141" s="183"/>
      <c r="L141" s="183"/>
      <c r="M141" s="183"/>
      <c r="N141" s="183"/>
      <c r="O141" s="183"/>
      <c r="P141" s="183"/>
      <c r="Q141" s="183"/>
      <c r="R141" s="183"/>
      <c r="S141" s="183"/>
      <c r="T141" s="183"/>
      <c r="U141" s="183"/>
      <c r="V141" s="183"/>
      <c r="W141" s="183"/>
      <c r="X141" s="183"/>
      <c r="Y141" s="183"/>
      <c r="Z141" s="183"/>
      <c r="AA141" s="183"/>
      <c r="AB141" s="183"/>
      <c r="AC141" s="183"/>
      <c r="AD141" s="183"/>
      <c r="AE141" s="183"/>
      <c r="AF141" s="183"/>
      <c r="AG141" s="183"/>
    </row>
  </sheetData>
  <mergeCells count="113">
    <mergeCell ref="A1:D1"/>
    <mergeCell ref="C12:D12"/>
    <mergeCell ref="C13:D13"/>
    <mergeCell ref="C14:D14"/>
    <mergeCell ref="C3:D3"/>
    <mergeCell ref="C4:D4"/>
    <mergeCell ref="P2:T2"/>
    <mergeCell ref="X2:Y2"/>
    <mergeCell ref="O2:O3"/>
    <mergeCell ref="K132:K136"/>
    <mergeCell ref="H133:H134"/>
    <mergeCell ref="C15:D15"/>
    <mergeCell ref="C18:D18"/>
    <mergeCell ref="C21:D21"/>
    <mergeCell ref="C19:D19"/>
    <mergeCell ref="C27:D27"/>
    <mergeCell ref="C26:D26"/>
    <mergeCell ref="C16:D16"/>
    <mergeCell ref="C24:D24"/>
    <mergeCell ref="C25:E25"/>
    <mergeCell ref="J25:K25"/>
    <mergeCell ref="I73:J73"/>
    <mergeCell ref="H59:I59"/>
    <mergeCell ref="J59:K59"/>
    <mergeCell ref="A42:M42"/>
    <mergeCell ref="C23:D23"/>
    <mergeCell ref="K90:K91"/>
    <mergeCell ref="F58:G58"/>
    <mergeCell ref="H58:I58"/>
    <mergeCell ref="C59:E59"/>
    <mergeCell ref="C128:D131"/>
    <mergeCell ref="E128:F128"/>
    <mergeCell ref="D98:F98"/>
    <mergeCell ref="G138:J138"/>
    <mergeCell ref="D90:D91"/>
    <mergeCell ref="G90:G91"/>
    <mergeCell ref="D112:D113"/>
    <mergeCell ref="E113:F113"/>
    <mergeCell ref="G112:G113"/>
    <mergeCell ref="H112:I113"/>
    <mergeCell ref="J133:J134"/>
    <mergeCell ref="G131:H131"/>
    <mergeCell ref="I131:J131"/>
    <mergeCell ref="E136:F136"/>
    <mergeCell ref="G136:H136"/>
    <mergeCell ref="G133:G134"/>
    <mergeCell ref="I132:J132"/>
    <mergeCell ref="D103:F103"/>
    <mergeCell ref="J90:J91"/>
    <mergeCell ref="D102:E102"/>
    <mergeCell ref="J106:K106"/>
    <mergeCell ref="E90:F91"/>
    <mergeCell ref="C132:D136"/>
    <mergeCell ref="E133:F134"/>
    <mergeCell ref="E132:F132"/>
    <mergeCell ref="E135:F135"/>
    <mergeCell ref="I133:I134"/>
    <mergeCell ref="E125:J125"/>
    <mergeCell ref="C127:F127"/>
    <mergeCell ref="E106:G106"/>
    <mergeCell ref="C124:E124"/>
    <mergeCell ref="I105:I106"/>
    <mergeCell ref="AE2:AF2"/>
    <mergeCell ref="AC2:AD2"/>
    <mergeCell ref="AC4:AC5"/>
    <mergeCell ref="AB4:AB11"/>
    <mergeCell ref="AB17:AB20"/>
    <mergeCell ref="AC10:AD26"/>
    <mergeCell ref="AE14:AE16"/>
    <mergeCell ref="AE17:AE22"/>
    <mergeCell ref="AE4:AF13"/>
    <mergeCell ref="AF14:AF15"/>
    <mergeCell ref="AF18:AF19"/>
    <mergeCell ref="AC6:AC9"/>
    <mergeCell ref="AE23:AE26"/>
    <mergeCell ref="AD4:AD9"/>
    <mergeCell ref="AB12:AB16"/>
    <mergeCell ref="AB21:AB22"/>
    <mergeCell ref="AB23:AB24"/>
    <mergeCell ref="AB25:AB26"/>
    <mergeCell ref="AA2:AB2"/>
    <mergeCell ref="AA4:AA9"/>
    <mergeCell ref="AA10:AA11"/>
    <mergeCell ref="AA12:AA14"/>
    <mergeCell ref="AA19:AA26"/>
    <mergeCell ref="AA15:AA18"/>
    <mergeCell ref="A41:M41"/>
    <mergeCell ref="L40:M40"/>
    <mergeCell ref="L90:L91"/>
    <mergeCell ref="I136:J136"/>
    <mergeCell ref="C60:E60"/>
    <mergeCell ref="J58:K58"/>
    <mergeCell ref="C58:E58"/>
    <mergeCell ref="I103:K103"/>
    <mergeCell ref="G132:H132"/>
    <mergeCell ref="G126:J126"/>
    <mergeCell ref="I98:K98"/>
    <mergeCell ref="I128:J128"/>
    <mergeCell ref="J60:K60"/>
    <mergeCell ref="G128:H128"/>
    <mergeCell ref="K128:K131"/>
    <mergeCell ref="K126:K127"/>
    <mergeCell ref="J112:J113"/>
    <mergeCell ref="H60:I60"/>
    <mergeCell ref="F59:G59"/>
    <mergeCell ref="D97:G97"/>
    <mergeCell ref="C126:F126"/>
    <mergeCell ref="E129:F129"/>
    <mergeCell ref="E130:F130"/>
    <mergeCell ref="F60:G60"/>
    <mergeCell ref="E131:F131"/>
    <mergeCell ref="D105:D106"/>
    <mergeCell ref="G127:J127"/>
  </mergeCells>
  <phoneticPr fontId="2"/>
  <pageMargins left="0.59055118110236227" right="0.39370078740157483" top="0.78740157480314965" bottom="0.59055118110236227" header="0.51181102362204722" footer="0.51181102362204722"/>
  <pageSetup paperSize="9" orientation="portrait" r:id="rId1"/>
  <headerFooter alignWithMargins="0"/>
  <rowBreaks count="2" manualBreakCount="2">
    <brk id="87" max="12" man="1"/>
    <brk id="123" max="12" man="1"/>
  </rowBreaks>
  <drawing r:id="rId2"/>
  <legacyDrawing r:id="rId3"/>
  <oleObjects>
    <mc:AlternateContent xmlns:mc="http://schemas.openxmlformats.org/markup-compatibility/2006">
      <mc:Choice Requires="x14">
        <oleObject progId="Equation.3" shapeId="6169" r:id="rId4">
          <objectPr defaultSize="0" autoPict="0" r:id="rId5">
            <anchor moveWithCells="1">
              <from>
                <xdr:col>3</xdr:col>
                <xdr:colOff>409575</xdr:colOff>
                <xdr:row>45</xdr:row>
                <xdr:rowOff>323850</xdr:rowOff>
              </from>
              <to>
                <xdr:col>7</xdr:col>
                <xdr:colOff>276225</xdr:colOff>
                <xdr:row>47</xdr:row>
                <xdr:rowOff>76200</xdr:rowOff>
              </to>
            </anchor>
          </objectPr>
        </oleObject>
      </mc:Choice>
      <mc:Fallback>
        <oleObject progId="Equation.3" shapeId="6169" r:id="rId4"/>
      </mc:Fallback>
    </mc:AlternateContent>
    <mc:AlternateContent xmlns:mc="http://schemas.openxmlformats.org/markup-compatibility/2006">
      <mc:Choice Requires="x14">
        <oleObject progId="Equation.3" shapeId="6177" r:id="rId6">
          <objectPr defaultSize="0" autoPict="0" r:id="rId7">
            <anchor moveWithCells="1">
              <from>
                <xdr:col>3</xdr:col>
                <xdr:colOff>447675</xdr:colOff>
                <xdr:row>87</xdr:row>
                <xdr:rowOff>152400</xdr:rowOff>
              </from>
              <to>
                <xdr:col>7</xdr:col>
                <xdr:colOff>295275</xdr:colOff>
                <xdr:row>89</xdr:row>
                <xdr:rowOff>57150</xdr:rowOff>
              </to>
            </anchor>
          </objectPr>
        </oleObject>
      </mc:Choice>
      <mc:Fallback>
        <oleObject progId="Equation.3" shapeId="6177" r:id="rId6"/>
      </mc:Fallback>
    </mc:AlternateContent>
    <mc:AlternateContent xmlns:mc="http://schemas.openxmlformats.org/markup-compatibility/2006">
      <mc:Choice Requires="x14">
        <oleObject progId="Equation.3" shapeId="6178" r:id="rId8">
          <objectPr defaultSize="0" autoPict="0" r:id="rId9">
            <anchor moveWithCells="1">
              <from>
                <xdr:col>8</xdr:col>
                <xdr:colOff>257175</xdr:colOff>
                <xdr:row>99</xdr:row>
                <xdr:rowOff>19050</xdr:rowOff>
              </from>
              <to>
                <xdr:col>10</xdr:col>
                <xdr:colOff>333375</xdr:colOff>
                <xdr:row>99</xdr:row>
                <xdr:rowOff>228600</xdr:rowOff>
              </to>
            </anchor>
          </objectPr>
        </oleObject>
      </mc:Choice>
      <mc:Fallback>
        <oleObject progId="Equation.3" shapeId="6178" r:id="rId8"/>
      </mc:Fallback>
    </mc:AlternateContent>
    <mc:AlternateContent xmlns:mc="http://schemas.openxmlformats.org/markup-compatibility/2006">
      <mc:Choice Requires="x14">
        <oleObject progId="Equation.3" shapeId="6179" r:id="rId10">
          <objectPr defaultSize="0" r:id="rId11">
            <anchor moveWithCells="1">
              <from>
                <xdr:col>4</xdr:col>
                <xdr:colOff>9525</xdr:colOff>
                <xdr:row>103</xdr:row>
                <xdr:rowOff>9525</xdr:rowOff>
              </from>
              <to>
                <xdr:col>5</xdr:col>
                <xdr:colOff>123825</xdr:colOff>
                <xdr:row>104</xdr:row>
                <xdr:rowOff>19050</xdr:rowOff>
              </to>
            </anchor>
          </objectPr>
        </oleObject>
      </mc:Choice>
      <mc:Fallback>
        <oleObject progId="Equation.3" shapeId="6179" r:id="rId10"/>
      </mc:Fallback>
    </mc:AlternateContent>
    <mc:AlternateContent xmlns:mc="http://schemas.openxmlformats.org/markup-compatibility/2006">
      <mc:Choice Requires="x14">
        <oleObject progId="Equation.3" shapeId="6180" r:id="rId12">
          <objectPr defaultSize="0" r:id="rId11">
            <anchor moveWithCells="1">
              <from>
                <xdr:col>9</xdr:col>
                <xdr:colOff>9525</xdr:colOff>
                <xdr:row>103</xdr:row>
                <xdr:rowOff>9525</xdr:rowOff>
              </from>
              <to>
                <xdr:col>10</xdr:col>
                <xdr:colOff>142875</xdr:colOff>
                <xdr:row>104</xdr:row>
                <xdr:rowOff>19050</xdr:rowOff>
              </to>
            </anchor>
          </objectPr>
        </oleObject>
      </mc:Choice>
      <mc:Fallback>
        <oleObject progId="Equation.3" shapeId="6180" r:id="rId12"/>
      </mc:Fallback>
    </mc:AlternateContent>
    <mc:AlternateContent xmlns:mc="http://schemas.openxmlformats.org/markup-compatibility/2006">
      <mc:Choice Requires="x14">
        <oleObject progId="Equation.3" shapeId="6181" r:id="rId13">
          <objectPr defaultSize="0" autoPict="0" r:id="rId14">
            <anchor moveWithCells="1">
              <from>
                <xdr:col>4</xdr:col>
                <xdr:colOff>0</xdr:colOff>
                <xdr:row>108</xdr:row>
                <xdr:rowOff>0</xdr:rowOff>
              </from>
              <to>
                <xdr:col>5</xdr:col>
                <xdr:colOff>219075</xdr:colOff>
                <xdr:row>108</xdr:row>
                <xdr:rowOff>428625</xdr:rowOff>
              </to>
            </anchor>
          </objectPr>
        </oleObject>
      </mc:Choice>
      <mc:Fallback>
        <oleObject progId="Equation.3" shapeId="6181" r:id="rId13"/>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D2112-F79B-4642-AAC5-CE97A588D006}">
  <sheetPr codeName="Sheet8"/>
  <dimension ref="B2:V180"/>
  <sheetViews>
    <sheetView topLeftCell="A15" workbookViewId="0">
      <selection activeCell="R16" sqref="R16"/>
    </sheetView>
  </sheetViews>
  <sheetFormatPr defaultColWidth="9" defaultRowHeight="13.5" x14ac:dyDescent="0.15"/>
  <cols>
    <col min="1" max="16384" width="9" style="181"/>
  </cols>
  <sheetData>
    <row r="2" spans="2:14" x14ac:dyDescent="0.15">
      <c r="B2" s="181" t="s">
        <v>396</v>
      </c>
    </row>
    <row r="3" spans="2:14" x14ac:dyDescent="0.15">
      <c r="B3" s="324"/>
      <c r="C3" s="326">
        <v>1</v>
      </c>
      <c r="D3" s="326">
        <v>2</v>
      </c>
      <c r="E3" s="326">
        <v>3</v>
      </c>
      <c r="F3" s="326">
        <v>4</v>
      </c>
      <c r="G3" s="326">
        <v>5</v>
      </c>
      <c r="H3" s="326">
        <v>6</v>
      </c>
      <c r="I3" s="326">
        <v>7</v>
      </c>
      <c r="J3" s="325">
        <v>8</v>
      </c>
      <c r="K3" s="325">
        <v>9</v>
      </c>
      <c r="L3" s="325">
        <v>10</v>
      </c>
      <c r="M3" s="325">
        <v>11</v>
      </c>
      <c r="N3" s="326">
        <v>12</v>
      </c>
    </row>
    <row r="4" spans="2:14" x14ac:dyDescent="0.15">
      <c r="B4" s="324"/>
      <c r="C4" s="326" t="s">
        <v>666</v>
      </c>
      <c r="D4" s="326" t="s">
        <v>1311</v>
      </c>
      <c r="E4" s="326" t="s">
        <v>1312</v>
      </c>
      <c r="F4" s="326" t="s">
        <v>676</v>
      </c>
      <c r="G4" s="326" t="s">
        <v>614</v>
      </c>
      <c r="H4" s="326" t="s">
        <v>615</v>
      </c>
      <c r="I4" s="326" t="s">
        <v>616</v>
      </c>
      <c r="J4" s="325" t="s">
        <v>617</v>
      </c>
      <c r="K4" s="325" t="s">
        <v>1313</v>
      </c>
      <c r="L4" s="325" t="s">
        <v>1314</v>
      </c>
      <c r="M4" s="325" t="s">
        <v>1315</v>
      </c>
      <c r="N4" s="326" t="s">
        <v>1316</v>
      </c>
    </row>
    <row r="5" spans="2:14" x14ac:dyDescent="0.15">
      <c r="B5" s="324">
        <v>250</v>
      </c>
      <c r="C5" s="324">
        <v>24</v>
      </c>
      <c r="D5" s="324">
        <v>36</v>
      </c>
      <c r="E5" s="324">
        <v>48</v>
      </c>
      <c r="F5" s="324">
        <v>48</v>
      </c>
      <c r="G5" s="324"/>
      <c r="H5" s="324">
        <v>24</v>
      </c>
      <c r="I5" s="324">
        <v>24</v>
      </c>
      <c r="J5" s="327">
        <v>24</v>
      </c>
      <c r="K5" s="324"/>
      <c r="L5" s="324"/>
      <c r="M5" s="328"/>
      <c r="N5" s="328"/>
    </row>
    <row r="6" spans="2:14" x14ac:dyDescent="0.15">
      <c r="B6" s="324">
        <v>300</v>
      </c>
      <c r="C6" s="324">
        <v>27</v>
      </c>
      <c r="D6" s="324">
        <v>41</v>
      </c>
      <c r="E6" s="324">
        <v>54</v>
      </c>
      <c r="F6" s="324">
        <v>54</v>
      </c>
      <c r="G6" s="324"/>
      <c r="H6" s="324">
        <v>27</v>
      </c>
      <c r="I6" s="324">
        <v>27</v>
      </c>
      <c r="J6" s="327">
        <v>27</v>
      </c>
      <c r="K6" s="324"/>
      <c r="L6" s="324"/>
      <c r="M6" s="328"/>
      <c r="N6" s="328"/>
    </row>
    <row r="7" spans="2:14" x14ac:dyDescent="0.15">
      <c r="B7" s="324">
        <v>350</v>
      </c>
      <c r="C7" s="324">
        <v>31</v>
      </c>
      <c r="D7" s="324">
        <v>47</v>
      </c>
      <c r="E7" s="324">
        <v>62</v>
      </c>
      <c r="F7" s="324">
        <v>62</v>
      </c>
      <c r="G7" s="324"/>
      <c r="H7" s="324">
        <v>31</v>
      </c>
      <c r="I7" s="324">
        <v>31</v>
      </c>
      <c r="J7" s="327">
        <v>31</v>
      </c>
      <c r="K7" s="324"/>
      <c r="L7" s="324"/>
      <c r="M7" s="328"/>
      <c r="N7" s="328"/>
    </row>
    <row r="8" spans="2:14" x14ac:dyDescent="0.15">
      <c r="B8" s="324">
        <v>400</v>
      </c>
      <c r="C8" s="324">
        <v>34</v>
      </c>
      <c r="D8" s="324">
        <v>51</v>
      </c>
      <c r="E8" s="324">
        <v>68</v>
      </c>
      <c r="F8" s="324">
        <v>68</v>
      </c>
      <c r="G8" s="324"/>
      <c r="H8" s="324">
        <v>34</v>
      </c>
      <c r="I8" s="324">
        <v>34</v>
      </c>
      <c r="J8" s="327">
        <v>34</v>
      </c>
      <c r="K8" s="324"/>
      <c r="L8" s="324"/>
      <c r="M8" s="328"/>
      <c r="N8" s="328"/>
    </row>
    <row r="9" spans="2:14" x14ac:dyDescent="0.15">
      <c r="B9" s="324">
        <v>450</v>
      </c>
      <c r="C9" s="324">
        <v>38</v>
      </c>
      <c r="D9" s="324">
        <v>57</v>
      </c>
      <c r="E9" s="324">
        <v>76</v>
      </c>
      <c r="F9" s="324">
        <v>76</v>
      </c>
      <c r="G9" s="324"/>
      <c r="H9" s="324">
        <v>38</v>
      </c>
      <c r="I9" s="324">
        <v>38</v>
      </c>
      <c r="J9" s="327">
        <v>38</v>
      </c>
      <c r="K9" s="324"/>
      <c r="L9" s="324"/>
      <c r="M9" s="328"/>
      <c r="N9" s="328"/>
    </row>
    <row r="10" spans="2:14" x14ac:dyDescent="0.15">
      <c r="B10" s="329">
        <v>500</v>
      </c>
      <c r="C10" s="329">
        <v>41</v>
      </c>
      <c r="D10" s="329">
        <v>62</v>
      </c>
      <c r="E10" s="329">
        <v>82</v>
      </c>
      <c r="F10" s="329">
        <v>82</v>
      </c>
      <c r="G10" s="329"/>
      <c r="H10" s="329">
        <v>41</v>
      </c>
      <c r="I10" s="329">
        <v>41</v>
      </c>
      <c r="J10" s="330">
        <v>41</v>
      </c>
      <c r="K10" s="324"/>
      <c r="L10" s="324"/>
      <c r="M10" s="328"/>
      <c r="N10" s="328"/>
    </row>
    <row r="11" spans="2:14" x14ac:dyDescent="0.15">
      <c r="B11" s="331">
        <v>600</v>
      </c>
      <c r="C11" s="331">
        <v>49</v>
      </c>
      <c r="D11" s="331">
        <v>74</v>
      </c>
      <c r="E11" s="331">
        <v>98</v>
      </c>
      <c r="F11" s="331">
        <v>98</v>
      </c>
      <c r="G11" s="331">
        <v>98</v>
      </c>
      <c r="H11" s="331">
        <v>49</v>
      </c>
      <c r="I11" s="331">
        <v>49</v>
      </c>
      <c r="J11" s="331">
        <v>49</v>
      </c>
      <c r="K11" s="324">
        <v>49</v>
      </c>
      <c r="L11" s="324">
        <v>49</v>
      </c>
      <c r="M11" s="324">
        <v>49</v>
      </c>
      <c r="N11" s="324">
        <v>49</v>
      </c>
    </row>
    <row r="12" spans="2:14" ht="14.25" thickBot="1" x14ac:dyDescent="0.2">
      <c r="B12" s="332">
        <v>700</v>
      </c>
      <c r="C12" s="332">
        <v>57</v>
      </c>
      <c r="D12" s="332">
        <v>86</v>
      </c>
      <c r="E12" s="332">
        <v>114</v>
      </c>
      <c r="F12" s="332">
        <v>114</v>
      </c>
      <c r="G12" s="332">
        <v>114</v>
      </c>
      <c r="H12" s="332">
        <v>57</v>
      </c>
      <c r="I12" s="332">
        <v>57</v>
      </c>
      <c r="J12" s="332">
        <v>57</v>
      </c>
      <c r="K12" s="333">
        <v>57</v>
      </c>
      <c r="L12" s="333">
        <v>57</v>
      </c>
      <c r="M12" s="333">
        <v>57</v>
      </c>
      <c r="N12" s="333">
        <v>57</v>
      </c>
    </row>
    <row r="13" spans="2:14" ht="15" thickTop="1" thickBot="1" x14ac:dyDescent="0.2">
      <c r="B13" s="334" t="s">
        <v>1317</v>
      </c>
      <c r="C13" s="334">
        <f>IF(条件入力!D8="","",VLOOKUP(条件入力!D8,B5:N12,2,FALSE))</f>
        <v>34</v>
      </c>
      <c r="D13" s="334">
        <f>IF(条件入力!D8="","",VLOOKUP(条件入力!D8,B5:N12,3,FALSE))</f>
        <v>51</v>
      </c>
      <c r="E13" s="334">
        <f>IF(条件入力!D8="","",VLOOKUP(条件入力!D8,B5:N12,4,FALSE))</f>
        <v>68</v>
      </c>
      <c r="F13" s="334">
        <f>IF(条件入力!D8="","",VLOOKUP(条件入力!D8,B5:N12,5,FALSE))</f>
        <v>68</v>
      </c>
      <c r="G13" s="334">
        <f>IF(条件入力!D8="","",VLOOKUP(条件入力!D8,B5:N12,6,FALSE))</f>
        <v>0</v>
      </c>
      <c r="H13" s="334">
        <f>IF(条件入力!D8="","",VLOOKUP(条件入力!D8,B5:N12,7,FALSE))</f>
        <v>34</v>
      </c>
      <c r="I13" s="334">
        <f>IF(条件入力!D8="","",VLOOKUP(条件入力!D8,B5:N12,8,FALSE))</f>
        <v>34</v>
      </c>
      <c r="J13" s="334">
        <f>IF(条件入力!D8="","",VLOOKUP(条件入力!D8,B5:N12,9,FALSE))</f>
        <v>34</v>
      </c>
      <c r="K13" s="334">
        <f>IF(条件入力!D8="","",VLOOKUP(条件入力!D8,B5:N12,10,FALSE))</f>
        <v>0</v>
      </c>
      <c r="L13" s="334">
        <f>IF(条件入力!D8="","",VLOOKUP(条件入力!D8,B5:N12,11,FALSE))</f>
        <v>0</v>
      </c>
      <c r="M13" s="334">
        <f>IF(条件入力!D8="","",VLOOKUP(条件入力!D8,B5:N12,12,FALSE))</f>
        <v>0</v>
      </c>
      <c r="N13" s="334">
        <f>IF(条件入力!D8="","",VLOOKUP(条件入力!D8,B5:N12,13,FALSE))</f>
        <v>0</v>
      </c>
    </row>
    <row r="14" spans="2:14" ht="14.25" thickTop="1" x14ac:dyDescent="0.15"/>
    <row r="15" spans="2:14" x14ac:dyDescent="0.15">
      <c r="B15" s="324"/>
      <c r="C15" s="324" t="s">
        <v>684</v>
      </c>
      <c r="D15" s="324"/>
      <c r="E15" s="324" t="s">
        <v>1318</v>
      </c>
      <c r="F15" s="324"/>
      <c r="G15" s="324" t="s">
        <v>1319</v>
      </c>
      <c r="H15" s="324"/>
      <c r="I15" s="324" t="s">
        <v>1320</v>
      </c>
    </row>
    <row r="16" spans="2:14" x14ac:dyDescent="0.15">
      <c r="B16" s="324" t="s">
        <v>1321</v>
      </c>
      <c r="C16" s="335">
        <f>条件入力!M3</f>
        <v>100</v>
      </c>
      <c r="D16" s="324"/>
      <c r="E16" s="324">
        <f>IF(条件入力!O3=1,C13,IF(条件入力!O3=2,D13,IF(条件入力!O3=3,E13,IF(条件入力!O3=4,F13,IF(条件入力!O3=5,G13,IF(条件入力!O3=6,H13,IF(条件入力!O3=7,I13,J13)))))))</f>
        <v>51</v>
      </c>
      <c r="F16" s="324"/>
      <c r="G16" s="324">
        <f>C16*E16</f>
        <v>5100</v>
      </c>
      <c r="H16" s="324"/>
      <c r="I16" s="324"/>
    </row>
    <row r="17" spans="2:22" x14ac:dyDescent="0.15">
      <c r="B17" s="324" t="s">
        <v>1322</v>
      </c>
      <c r="C17" s="335">
        <f>条件入力!M4</f>
        <v>0</v>
      </c>
      <c r="D17" s="324"/>
      <c r="E17" s="324">
        <f>IF(条件入力!O4=1,C13,IF(条件入力!O4=2,D13,IF(条件入力!O4=3,E13,IF(条件入力!O4=4,F13,IF(条件入力!O4=5,G13,IF(条件入力!O4=6,H13,IF(条件入力!O4=7,I13,J13)))))))</f>
        <v>34</v>
      </c>
      <c r="F17" s="324"/>
      <c r="G17" s="324">
        <f t="shared" ref="G17:G30" si="0">C17*E17</f>
        <v>0</v>
      </c>
      <c r="H17" s="324"/>
      <c r="I17" s="324"/>
      <c r="M17" s="326">
        <v>1</v>
      </c>
      <c r="N17" s="827" t="s">
        <v>1323</v>
      </c>
      <c r="O17" s="827"/>
      <c r="P17" s="827"/>
      <c r="Q17" s="761" t="s">
        <v>1324</v>
      </c>
      <c r="R17" s="761"/>
      <c r="S17" s="761"/>
      <c r="T17" s="761" t="s">
        <v>1325</v>
      </c>
      <c r="U17" s="761"/>
      <c r="V17" s="761"/>
    </row>
    <row r="18" spans="2:22" x14ac:dyDescent="0.15">
      <c r="B18" s="324" t="s">
        <v>1326</v>
      </c>
      <c r="C18" s="335">
        <f>条件入力!M5</f>
        <v>0</v>
      </c>
      <c r="D18" s="324"/>
      <c r="E18" s="324">
        <f>IF(条件入力!O5=1,C13,IF(条件入力!O5=2,D13,IF(条件入力!O5=3,E13,IF(条件入力!O5=4,F13,IF(条件入力!O5=5,G13,IF(条件入力!O5=6,H13,IF(条件入力!O5=7,I13,J13)))))))</f>
        <v>34</v>
      </c>
      <c r="F18" s="324"/>
      <c r="G18" s="324">
        <f t="shared" si="0"/>
        <v>0</v>
      </c>
      <c r="H18" s="324"/>
      <c r="I18" s="324"/>
      <c r="M18" s="326">
        <v>2</v>
      </c>
      <c r="N18" s="827" t="s">
        <v>1327</v>
      </c>
      <c r="O18" s="827"/>
      <c r="P18" s="827"/>
      <c r="Q18" s="761" t="s">
        <v>1328</v>
      </c>
      <c r="R18" s="761"/>
      <c r="S18" s="761"/>
      <c r="T18" s="761" t="s">
        <v>1329</v>
      </c>
      <c r="U18" s="761"/>
      <c r="V18" s="761"/>
    </row>
    <row r="19" spans="2:22" x14ac:dyDescent="0.15">
      <c r="B19" s="324" t="s">
        <v>1330</v>
      </c>
      <c r="C19" s="335">
        <f>条件入力!M6</f>
        <v>0</v>
      </c>
      <c r="D19" s="324"/>
      <c r="E19" s="324">
        <f>IF(条件入力!O6=1,C13,IF(条件入力!O6=2,D13,IF(条件入力!O6=3,E13,IF(条件入力!O6=4,F13,IF(条件入力!O6=5,G13,IF(条件入力!O6=6,H13,IF(条件入力!O6=7,I13,J13)))))))</f>
        <v>34</v>
      </c>
      <c r="F19" s="324"/>
      <c r="G19" s="324">
        <f t="shared" si="0"/>
        <v>0</v>
      </c>
      <c r="H19" s="324"/>
      <c r="I19" s="324"/>
      <c r="M19" s="326">
        <v>3</v>
      </c>
      <c r="N19" s="827" t="s">
        <v>1331</v>
      </c>
      <c r="O19" s="827"/>
      <c r="P19" s="827"/>
      <c r="Q19" s="761" t="s">
        <v>1332</v>
      </c>
      <c r="R19" s="761"/>
      <c r="S19" s="761"/>
      <c r="T19" s="761" t="s">
        <v>1333</v>
      </c>
      <c r="U19" s="761"/>
      <c r="V19" s="761"/>
    </row>
    <row r="20" spans="2:22" x14ac:dyDescent="0.15">
      <c r="B20" s="324" t="s">
        <v>1334</v>
      </c>
      <c r="C20" s="335">
        <f>条件入力!M7</f>
        <v>0</v>
      </c>
      <c r="D20" s="324"/>
      <c r="E20" s="324">
        <f>IF(条件入力!O7=1,C13,IF(条件入力!O7=2,D13,IF(条件入力!O7=3,E13,IF(条件入力!O7=4,F13,IF(条件入力!O7=5,G13,IF(条件入力!O7=6,H13,IF(条件入力!O7=7,I13,J13)))))))</f>
        <v>34</v>
      </c>
      <c r="F20" s="324"/>
      <c r="G20" s="324">
        <f t="shared" si="0"/>
        <v>0</v>
      </c>
      <c r="H20" s="324"/>
      <c r="I20" s="324"/>
      <c r="M20" s="326">
        <v>4</v>
      </c>
      <c r="N20" s="827" t="s">
        <v>1335</v>
      </c>
      <c r="O20" s="827"/>
      <c r="P20" s="827"/>
      <c r="Q20" s="761" t="s">
        <v>1336</v>
      </c>
      <c r="R20" s="761"/>
      <c r="S20" s="761"/>
      <c r="T20" s="761" t="s">
        <v>1337</v>
      </c>
      <c r="U20" s="761"/>
      <c r="V20" s="761"/>
    </row>
    <row r="21" spans="2:22" x14ac:dyDescent="0.15">
      <c r="B21" s="324" t="s">
        <v>1338</v>
      </c>
      <c r="C21" s="335">
        <f>条件入力!M8</f>
        <v>0</v>
      </c>
      <c r="D21" s="324"/>
      <c r="E21" s="324">
        <f>IF(条件入力!O8=1,C13,IF(条件入力!O8=2,D13,IF(条件入力!O8=3,E13,IF(条件入力!O8=4,F13,IF(条件入力!O8=5,G13,IF(条件入力!O8=6,H13,IF(条件入力!O8=7,I13,J13)))))))</f>
        <v>34</v>
      </c>
      <c r="F21" s="324"/>
      <c r="G21" s="324">
        <f t="shared" si="0"/>
        <v>0</v>
      </c>
      <c r="H21" s="324"/>
      <c r="I21" s="324"/>
      <c r="M21" s="326">
        <v>5</v>
      </c>
      <c r="N21" s="827" t="s">
        <v>1339</v>
      </c>
      <c r="O21" s="827"/>
      <c r="P21" s="827"/>
      <c r="Q21" s="761" t="s">
        <v>1340</v>
      </c>
      <c r="R21" s="761"/>
      <c r="S21" s="761"/>
      <c r="T21" s="761" t="s">
        <v>1341</v>
      </c>
      <c r="U21" s="761"/>
      <c r="V21" s="761"/>
    </row>
    <row r="22" spans="2:22" x14ac:dyDescent="0.15">
      <c r="B22" s="324" t="s">
        <v>1342</v>
      </c>
      <c r="C22" s="335">
        <f>条件入力!M9</f>
        <v>0</v>
      </c>
      <c r="D22" s="324"/>
      <c r="E22" s="324">
        <f>IF(条件入力!O9=1,C13,IF(条件入力!O9=2,D13,IF(条件入力!O9=3,E13,IF(条件入力!O9=4,F13,IF(条件入力!O9=5,G13,IF(条件入力!O9=6,H13,IF(条件入力!O9=7,I13,J13)))))))</f>
        <v>34</v>
      </c>
      <c r="F22" s="324"/>
      <c r="G22" s="324">
        <f t="shared" si="0"/>
        <v>0</v>
      </c>
      <c r="H22" s="324"/>
      <c r="I22" s="324"/>
    </row>
    <row r="23" spans="2:22" x14ac:dyDescent="0.15">
      <c r="B23" s="324" t="s">
        <v>1343</v>
      </c>
      <c r="C23" s="335">
        <f>条件入力!M10</f>
        <v>0</v>
      </c>
      <c r="D23" s="324"/>
      <c r="E23" s="324">
        <f>IF(条件入力!O10=1,C13,IF(条件入力!O10=2,D13,IF(条件入力!O10=3,E13,IF(条件入力!O10=4,F13,IF(条件入力!O10=5,G13,IF(条件入力!O10=6,H13,IF(条件入力!O10=7,I13,J13)))))))</f>
        <v>34</v>
      </c>
      <c r="F23" s="324"/>
      <c r="G23" s="324">
        <f t="shared" si="0"/>
        <v>0</v>
      </c>
      <c r="H23" s="324"/>
      <c r="I23" s="324"/>
    </row>
    <row r="24" spans="2:22" x14ac:dyDescent="0.15">
      <c r="B24" s="324" t="s">
        <v>1344</v>
      </c>
      <c r="C24" s="335">
        <f>条件入力!M11</f>
        <v>0</v>
      </c>
      <c r="D24" s="324"/>
      <c r="E24" s="324">
        <f>IF(条件入力!O11=1,C13,IF(条件入力!O11=2,D13,IF(条件入力!O11=3,E13,IF(条件入力!O11=4,F13,IF(条件入力!O11=5,G13,IF(条件入力!O11=6,H13,IF(条件入力!O11=7,I13,J13)))))))</f>
        <v>34</v>
      </c>
      <c r="F24" s="324"/>
      <c r="G24" s="324">
        <f t="shared" si="0"/>
        <v>0</v>
      </c>
      <c r="H24" s="324"/>
      <c r="I24" s="324"/>
    </row>
    <row r="25" spans="2:22" x14ac:dyDescent="0.15">
      <c r="B25" s="324" t="s">
        <v>1345</v>
      </c>
      <c r="C25" s="335">
        <f>条件入力!M12</f>
        <v>0</v>
      </c>
      <c r="D25" s="324"/>
      <c r="E25" s="324">
        <f>IF(条件入力!O12=1,C13,IF(条件入力!O12=2,D13,IF(条件入力!O12=3,E13,IF(条件入力!O12=4,F13,IF(条件入力!O12=5,G13,IF(条件入力!O12=6,H13,IF(条件入力!O12=7,I13,J13)))))))</f>
        <v>34</v>
      </c>
      <c r="F25" s="324"/>
      <c r="G25" s="324">
        <f t="shared" si="0"/>
        <v>0</v>
      </c>
      <c r="H25" s="324"/>
      <c r="I25" s="324"/>
    </row>
    <row r="26" spans="2:22" x14ac:dyDescent="0.15">
      <c r="B26" s="324" t="s">
        <v>1346</v>
      </c>
      <c r="C26" s="335">
        <f>条件入力!M13</f>
        <v>0</v>
      </c>
      <c r="D26" s="324"/>
      <c r="E26" s="324">
        <f>IF(条件入力!O13=1,C13,IF(条件入力!O13=2,D13,IF(条件入力!O13=3,E13,IF(条件入力!O13=4,F13,IF(条件入力!O13=5,G13,IF(条件入力!O13=6,H13,IF(条件入力!O13=7,I13,J13)))))))</f>
        <v>34</v>
      </c>
      <c r="F26" s="324"/>
      <c r="G26" s="324">
        <f t="shared" si="0"/>
        <v>0</v>
      </c>
      <c r="H26" s="324"/>
      <c r="I26" s="324"/>
    </row>
    <row r="27" spans="2:22" x14ac:dyDescent="0.15">
      <c r="B27" s="324" t="s">
        <v>1347</v>
      </c>
      <c r="C27" s="335">
        <f>条件入力!M14</f>
        <v>0</v>
      </c>
      <c r="D27" s="324"/>
      <c r="E27" s="324">
        <f>IF(条件入力!O14=1,C13,IF(条件入力!O14=2,D13,IF(条件入力!O14=3,E13,IF(条件入力!O14=4,F13,IF(条件入力!O14=5,G13,IF(条件入力!O14=6,H13,IF(条件入力!O14=7,I13,J13)))))))</f>
        <v>34</v>
      </c>
      <c r="F27" s="324"/>
      <c r="G27" s="324">
        <f t="shared" si="0"/>
        <v>0</v>
      </c>
      <c r="H27" s="324"/>
      <c r="I27" s="324"/>
    </row>
    <row r="28" spans="2:22" x14ac:dyDescent="0.15">
      <c r="B28" s="324" t="s">
        <v>1348</v>
      </c>
      <c r="C28" s="335">
        <f>条件入力!M15</f>
        <v>0</v>
      </c>
      <c r="D28" s="324"/>
      <c r="E28" s="324">
        <f>IF(条件入力!O15=1,C13,IF(条件入力!O15=2,D13,IF(条件入力!O15=3,E13,IF(条件入力!O15=4,F13,IF(条件入力!O15=5,G13,IF(条件入力!O15=6,H13,IF(条件入力!O15=7,I13,J13)))))))</f>
        <v>34</v>
      </c>
      <c r="F28" s="324"/>
      <c r="G28" s="324">
        <f t="shared" si="0"/>
        <v>0</v>
      </c>
      <c r="H28" s="324"/>
      <c r="I28" s="324"/>
    </row>
    <row r="29" spans="2:22" x14ac:dyDescent="0.15">
      <c r="B29" s="324" t="s">
        <v>1349</v>
      </c>
      <c r="C29" s="335">
        <f>条件入力!M16</f>
        <v>0</v>
      </c>
      <c r="D29" s="324"/>
      <c r="E29" s="324">
        <f>IF(条件入力!O16=1,C13,IF(条件入力!O16=2,D13,IF(条件入力!O16=3,E13,IF(条件入力!O16=4,F13,IF(条件入力!O16=5,G13,IF(条件入力!O16=6,H13,IF(条件入力!O16=7,I13,J13)))))))</f>
        <v>34</v>
      </c>
      <c r="F29" s="324"/>
      <c r="G29" s="324">
        <f>C29*E29</f>
        <v>0</v>
      </c>
      <c r="H29" s="324"/>
      <c r="I29" s="324"/>
    </row>
    <row r="30" spans="2:22" x14ac:dyDescent="0.15">
      <c r="B30" s="324" t="s">
        <v>1350</v>
      </c>
      <c r="C30" s="335">
        <f>条件入力!M17</f>
        <v>0</v>
      </c>
      <c r="D30" s="324"/>
      <c r="E30" s="324">
        <f>IF(条件入力!O17=1,C13,IF(条件入力!O17=2,D13,IF(条件入力!O17=3,E13,IF(条件入力!O17=4,F13,IF(条件入力!O17=5,G13,IF(条件入力!O17=6,H13,IF(条件入力!O17=7,I13,J13)))))))</f>
        <v>34</v>
      </c>
      <c r="F30" s="324"/>
      <c r="G30" s="324">
        <f t="shared" si="0"/>
        <v>0</v>
      </c>
      <c r="H30" s="324"/>
      <c r="I30" s="324"/>
    </row>
    <row r="31" spans="2:22" x14ac:dyDescent="0.15">
      <c r="B31" s="324" t="s">
        <v>266</v>
      </c>
      <c r="C31" s="335">
        <f>SUM(C16:C30)</f>
        <v>100</v>
      </c>
      <c r="D31" s="324"/>
      <c r="E31" s="324"/>
      <c r="F31" s="324"/>
      <c r="G31" s="324">
        <f>SUM(G16:G30)</f>
        <v>5100</v>
      </c>
      <c r="H31" s="324"/>
      <c r="I31" s="324">
        <f>ROUND(G31/C31,0)</f>
        <v>51</v>
      </c>
    </row>
    <row r="33" spans="2:9" x14ac:dyDescent="0.15">
      <c r="B33" s="181" t="s">
        <v>574</v>
      </c>
      <c r="F33" s="181" t="s">
        <v>1351</v>
      </c>
    </row>
    <row r="34" spans="2:9" x14ac:dyDescent="0.15">
      <c r="B34" s="324"/>
      <c r="C34" s="326">
        <v>1</v>
      </c>
      <c r="D34" s="326">
        <v>2</v>
      </c>
      <c r="F34" s="324"/>
      <c r="G34" s="326">
        <v>1</v>
      </c>
      <c r="H34" s="326">
        <v>2</v>
      </c>
    </row>
    <row r="35" spans="2:9" x14ac:dyDescent="0.15">
      <c r="B35" s="324"/>
      <c r="C35" s="326" t="s">
        <v>1352</v>
      </c>
      <c r="D35" s="326" t="s">
        <v>1353</v>
      </c>
      <c r="F35" s="324"/>
      <c r="G35" s="326" t="s">
        <v>1352</v>
      </c>
      <c r="H35" s="326" t="s">
        <v>1353</v>
      </c>
    </row>
    <row r="36" spans="2:9" x14ac:dyDescent="0.15">
      <c r="B36" s="324">
        <v>250</v>
      </c>
      <c r="C36" s="336">
        <v>41729</v>
      </c>
      <c r="D36" s="336">
        <v>49063</v>
      </c>
      <c r="F36" s="324">
        <v>250</v>
      </c>
      <c r="G36" s="336">
        <v>2218</v>
      </c>
      <c r="H36" s="336">
        <v>1484</v>
      </c>
    </row>
    <row r="37" spans="2:9" x14ac:dyDescent="0.15">
      <c r="B37" s="324">
        <v>300</v>
      </c>
      <c r="C37" s="336">
        <v>41729</v>
      </c>
      <c r="D37" s="336">
        <v>49063</v>
      </c>
      <c r="F37" s="324">
        <v>300</v>
      </c>
      <c r="G37" s="336">
        <v>2218</v>
      </c>
      <c r="H37" s="336">
        <v>1484</v>
      </c>
    </row>
    <row r="38" spans="2:9" x14ac:dyDescent="0.15">
      <c r="B38" s="324">
        <v>350</v>
      </c>
      <c r="C38" s="336">
        <v>42993</v>
      </c>
      <c r="D38" s="336">
        <v>50529</v>
      </c>
      <c r="F38" s="324">
        <v>350</v>
      </c>
      <c r="G38" s="336">
        <v>2879</v>
      </c>
      <c r="H38" s="336">
        <v>2074</v>
      </c>
    </row>
    <row r="39" spans="2:9" x14ac:dyDescent="0.15">
      <c r="B39" s="324">
        <v>400</v>
      </c>
      <c r="C39" s="336">
        <v>42993</v>
      </c>
      <c r="D39" s="336">
        <v>50529</v>
      </c>
      <c r="F39" s="324">
        <v>400</v>
      </c>
      <c r="G39" s="336">
        <v>2879</v>
      </c>
      <c r="H39" s="336">
        <v>2074</v>
      </c>
    </row>
    <row r="40" spans="2:9" x14ac:dyDescent="0.15">
      <c r="B40" s="324">
        <v>450</v>
      </c>
      <c r="C40" s="336">
        <v>42993</v>
      </c>
      <c r="D40" s="336">
        <v>50959</v>
      </c>
      <c r="F40" s="324">
        <v>450</v>
      </c>
      <c r="G40" s="336">
        <v>2879</v>
      </c>
      <c r="H40" s="336">
        <v>2074</v>
      </c>
    </row>
    <row r="41" spans="2:9" x14ac:dyDescent="0.15">
      <c r="B41" s="329">
        <v>500</v>
      </c>
      <c r="C41" s="337">
        <v>42993</v>
      </c>
      <c r="D41" s="337">
        <v>50959</v>
      </c>
      <c r="F41" s="329">
        <v>500</v>
      </c>
      <c r="G41" s="337">
        <v>2879</v>
      </c>
      <c r="H41" s="337">
        <v>2074</v>
      </c>
    </row>
    <row r="42" spans="2:9" x14ac:dyDescent="0.15">
      <c r="B42" s="324">
        <v>600</v>
      </c>
      <c r="C42" s="324"/>
      <c r="D42" s="336">
        <v>60443</v>
      </c>
      <c r="E42" s="338"/>
      <c r="F42" s="324">
        <v>600</v>
      </c>
      <c r="G42" s="336"/>
      <c r="H42" s="336"/>
    </row>
    <row r="43" spans="2:9" ht="14.25" thickBot="1" x14ac:dyDescent="0.2">
      <c r="B43" s="333">
        <v>700</v>
      </c>
      <c r="C43" s="333"/>
      <c r="D43" s="339">
        <v>60443</v>
      </c>
      <c r="E43" s="338"/>
      <c r="F43" s="333">
        <v>700</v>
      </c>
      <c r="G43" s="339"/>
      <c r="H43" s="339"/>
    </row>
    <row r="44" spans="2:9" ht="15" thickTop="1" thickBot="1" x14ac:dyDescent="0.2">
      <c r="B44" s="334"/>
      <c r="C44" s="340">
        <f>IF(条件入力!D18="","",VLOOKUP(条件入力!D8,B36:D43,2,FALSE))</f>
        <v>42993</v>
      </c>
      <c r="D44" s="340">
        <f>IF(条件入力!D18="","",VLOOKUP(条件入力!D8,B36:D43,3,FALSE))</f>
        <v>50529</v>
      </c>
      <c r="F44" s="341" t="s">
        <v>1354</v>
      </c>
      <c r="G44" s="340">
        <f>ROUND(IF(条件入力!D18="","",VLOOKUP(条件入力!D8,F36:H43,2,FALSE))/100,0)</f>
        <v>29</v>
      </c>
      <c r="H44" s="340">
        <f>ROUND(IF(条件入力!D18="","",VLOOKUP(条件入力!D8,F36:H43,3,FALSE))/100,0)</f>
        <v>21</v>
      </c>
    </row>
    <row r="45" spans="2:9" ht="14.25" thickTop="1" x14ac:dyDescent="0.15"/>
    <row r="47" spans="2:9" x14ac:dyDescent="0.15">
      <c r="B47" s="181" t="s">
        <v>1355</v>
      </c>
      <c r="G47" s="181" t="s">
        <v>1356</v>
      </c>
    </row>
    <row r="48" spans="2:9" x14ac:dyDescent="0.15">
      <c r="B48" s="324"/>
      <c r="C48" s="326" t="str">
        <f>IF(条件入力!H15=50,"50A",IF(条件入力!H15=80,"80A","100A"))</f>
        <v>80A</v>
      </c>
      <c r="D48" s="326" t="str">
        <f>IF(条件入力!H15=50,"50A",IF(条件入力!H15=80,"80A","100A"))</f>
        <v>80A</v>
      </c>
      <c r="E48" s="342"/>
      <c r="G48" s="324"/>
      <c r="H48" s="326" t="str">
        <f>IF(条件入力!L15=50,"50A",IF(条件入力!L15=80,"80A","100A"))</f>
        <v>100A</v>
      </c>
      <c r="I48" s="326" t="str">
        <f>IF(条件入力!L15=50,"50A",IF(条件入力!L15=80,"80A","100A"))</f>
        <v>100A</v>
      </c>
    </row>
    <row r="49" spans="2:10" x14ac:dyDescent="0.15">
      <c r="B49" s="324"/>
      <c r="C49" s="326" t="s">
        <v>1352</v>
      </c>
      <c r="D49" s="326" t="s">
        <v>1353</v>
      </c>
      <c r="E49" s="343"/>
      <c r="G49" s="324"/>
      <c r="H49" s="326" t="s">
        <v>1352</v>
      </c>
      <c r="I49" s="326" t="s">
        <v>1353</v>
      </c>
    </row>
    <row r="50" spans="2:10" ht="14.25" thickBot="1" x14ac:dyDescent="0.2">
      <c r="B50" s="329"/>
      <c r="C50" s="337">
        <f>IF(条件入力!H15=50,665,IF(条件入力!H15=80,227,0))</f>
        <v>227</v>
      </c>
      <c r="D50" s="337">
        <f>IF(条件入力!H15=50,623,IF(条件入力!H15=80,178,245))</f>
        <v>178</v>
      </c>
      <c r="E50" s="343"/>
      <c r="G50" s="329"/>
      <c r="H50" s="337">
        <f>IF(条件入力!H15=50,665,IF(条件入力!H15=80,227,0))</f>
        <v>227</v>
      </c>
      <c r="I50" s="337">
        <f>IF(条件入力!L15=50,623,IF(条件入力!L15=80,178,245))</f>
        <v>245</v>
      </c>
    </row>
    <row r="51" spans="2:10" ht="15" thickTop="1" thickBot="1" x14ac:dyDescent="0.2">
      <c r="B51" s="334" t="s">
        <v>1320</v>
      </c>
      <c r="C51" s="340">
        <f>C50</f>
        <v>227</v>
      </c>
      <c r="D51" s="340">
        <f>D50</f>
        <v>178</v>
      </c>
      <c r="E51" s="344"/>
      <c r="G51" s="341" t="s">
        <v>1354</v>
      </c>
      <c r="H51" s="340">
        <f>ROUND((H50/30),0)</f>
        <v>8</v>
      </c>
      <c r="I51" s="340">
        <f>ROUND((I50/30),0)</f>
        <v>8</v>
      </c>
      <c r="J51" s="344"/>
    </row>
    <row r="52" spans="2:10" ht="14.25" thickTop="1" x14ac:dyDescent="0.15">
      <c r="C52" s="345"/>
      <c r="D52" s="345"/>
      <c r="G52" s="345"/>
      <c r="H52" s="345"/>
    </row>
    <row r="53" spans="2:10" x14ac:dyDescent="0.15">
      <c r="C53" s="345"/>
      <c r="D53" s="345"/>
      <c r="G53" s="345"/>
      <c r="H53" s="345"/>
    </row>
    <row r="54" spans="2:10" x14ac:dyDescent="0.15">
      <c r="B54" s="181" t="s">
        <v>1357</v>
      </c>
      <c r="G54" s="181" t="s">
        <v>1358</v>
      </c>
    </row>
    <row r="55" spans="2:10" x14ac:dyDescent="0.15">
      <c r="B55" s="324"/>
      <c r="C55" s="326" t="str">
        <f>IF(条件入力!H15=50,"50A",IF(条件入力!H15=80,"80A","100A"))</f>
        <v>80A</v>
      </c>
      <c r="D55" s="326" t="str">
        <f>IF(条件入力!H15=50,"50A",IF(条件入力!H15=80,"80A","100A"))</f>
        <v>80A</v>
      </c>
      <c r="E55" s="342"/>
      <c r="G55" s="324"/>
      <c r="H55" s="326" t="str">
        <f>IF(条件入力!L15=50,"50A",IF(条件入力!L15=80,"80A","100A"))</f>
        <v>100A</v>
      </c>
      <c r="I55" s="326" t="str">
        <f>IF(条件入力!L15=50,"50A",IF(条件入力!L15=80,"80A","100A"))</f>
        <v>100A</v>
      </c>
    </row>
    <row r="56" spans="2:10" x14ac:dyDescent="0.15">
      <c r="B56" s="324"/>
      <c r="C56" s="326" t="s">
        <v>1352</v>
      </c>
      <c r="D56" s="326" t="s">
        <v>1353</v>
      </c>
      <c r="E56" s="343"/>
      <c r="G56" s="324"/>
      <c r="H56" s="326" t="s">
        <v>1352</v>
      </c>
      <c r="I56" s="326" t="s">
        <v>1353</v>
      </c>
    </row>
    <row r="57" spans="2:10" ht="14.25" thickBot="1" x14ac:dyDescent="0.2">
      <c r="B57" s="329"/>
      <c r="C57" s="337">
        <f>IF(条件入力!H15=50,239156,IF(条件入力!H15=80,294428,0))</f>
        <v>294428</v>
      </c>
      <c r="D57" s="337">
        <f>IF(条件入力!H15=50,138736,IF(条件入力!H15=80,227552,290452))</f>
        <v>227552</v>
      </c>
      <c r="E57" s="343"/>
      <c r="G57" s="329"/>
      <c r="H57" s="337">
        <f>IF(条件入力!H15=50,84162,IF(条件入力!L22=80,103171,0))</f>
        <v>0</v>
      </c>
      <c r="I57" s="337">
        <f>IF(条件入力!L22=50,49494,IF(条件入力!H15=80,79521,101581))</f>
        <v>79521</v>
      </c>
    </row>
    <row r="58" spans="2:10" ht="15" thickTop="1" thickBot="1" x14ac:dyDescent="0.2">
      <c r="B58" s="334"/>
      <c r="C58" s="340">
        <f>ROUND(C57,0)</f>
        <v>294428</v>
      </c>
      <c r="D58" s="340">
        <f>ROUND(D57,0)</f>
        <v>227552</v>
      </c>
      <c r="E58" s="344"/>
      <c r="G58" s="334"/>
      <c r="H58" s="340">
        <f>ROUND(H57/30,0)</f>
        <v>0</v>
      </c>
      <c r="I58" s="340">
        <f>ROUND(I57/30,0)</f>
        <v>2651</v>
      </c>
      <c r="J58" s="344"/>
    </row>
    <row r="59" spans="2:10" ht="14.25" thickTop="1" x14ac:dyDescent="0.15"/>
    <row r="61" spans="2:10" x14ac:dyDescent="0.15">
      <c r="B61" s="181" t="s">
        <v>1359</v>
      </c>
      <c r="G61" s="181" t="s">
        <v>584</v>
      </c>
    </row>
    <row r="62" spans="2:10" x14ac:dyDescent="0.15">
      <c r="B62" s="324"/>
      <c r="C62" s="326" t="s">
        <v>1360</v>
      </c>
      <c r="D62" s="326" t="s">
        <v>1361</v>
      </c>
      <c r="E62" s="326" t="s">
        <v>1362</v>
      </c>
      <c r="G62" s="324"/>
      <c r="H62" s="326" t="s">
        <v>1360</v>
      </c>
      <c r="I62" s="326" t="s">
        <v>1361</v>
      </c>
      <c r="J62" s="326" t="s">
        <v>1362</v>
      </c>
    </row>
    <row r="63" spans="2:10" x14ac:dyDescent="0.15">
      <c r="B63" s="326">
        <v>5.5</v>
      </c>
      <c r="C63" s="336">
        <v>5534</v>
      </c>
      <c r="D63" s="336"/>
      <c r="E63" s="346"/>
      <c r="G63" s="326">
        <v>5.5</v>
      </c>
      <c r="H63" s="336">
        <v>4799</v>
      </c>
      <c r="I63" s="336">
        <v>5565</v>
      </c>
      <c r="J63" s="336"/>
    </row>
    <row r="64" spans="2:10" x14ac:dyDescent="0.15">
      <c r="B64" s="326">
        <v>7.5</v>
      </c>
      <c r="C64" s="336">
        <v>7820</v>
      </c>
      <c r="D64" s="336">
        <v>8716</v>
      </c>
      <c r="E64" s="346"/>
      <c r="G64" s="326">
        <v>7.5</v>
      </c>
      <c r="H64" s="336">
        <v>5368</v>
      </c>
      <c r="I64" s="336">
        <v>6250</v>
      </c>
      <c r="J64" s="336"/>
    </row>
    <row r="65" spans="2:18" x14ac:dyDescent="0.15">
      <c r="B65" s="326">
        <v>11</v>
      </c>
      <c r="C65" s="336">
        <v>8583</v>
      </c>
      <c r="D65" s="336">
        <v>9459</v>
      </c>
      <c r="E65" s="346"/>
      <c r="G65" s="326">
        <v>11</v>
      </c>
      <c r="H65" s="336">
        <v>5850</v>
      </c>
      <c r="I65" s="336">
        <v>6746</v>
      </c>
      <c r="J65" s="336"/>
    </row>
    <row r="66" spans="2:18" x14ac:dyDescent="0.15">
      <c r="B66" s="326">
        <v>15</v>
      </c>
      <c r="C66" s="336"/>
      <c r="D66" s="336">
        <v>10930</v>
      </c>
      <c r="E66" s="346"/>
      <c r="G66" s="326">
        <v>15</v>
      </c>
      <c r="H66" s="336"/>
      <c r="I66" s="336">
        <v>7343</v>
      </c>
      <c r="J66" s="336">
        <v>9526</v>
      </c>
    </row>
    <row r="67" spans="2:18" x14ac:dyDescent="0.15">
      <c r="B67" s="326">
        <v>18.5</v>
      </c>
      <c r="C67" s="336"/>
      <c r="D67" s="336">
        <v>12067</v>
      </c>
      <c r="E67" s="346"/>
      <c r="G67" s="326">
        <v>18.5</v>
      </c>
      <c r="H67" s="336"/>
      <c r="I67" s="336">
        <v>8031</v>
      </c>
      <c r="J67" s="336">
        <v>10236</v>
      </c>
    </row>
    <row r="68" spans="2:18" x14ac:dyDescent="0.15">
      <c r="B68" s="347">
        <v>22</v>
      </c>
      <c r="C68" s="337"/>
      <c r="D68" s="337">
        <v>12655</v>
      </c>
      <c r="E68" s="348">
        <v>14877</v>
      </c>
      <c r="G68" s="347">
        <v>22</v>
      </c>
      <c r="H68" s="337"/>
      <c r="I68" s="337">
        <v>8350</v>
      </c>
      <c r="J68" s="337">
        <v>10808</v>
      </c>
    </row>
    <row r="69" spans="2:18" x14ac:dyDescent="0.15">
      <c r="B69" s="326">
        <v>30</v>
      </c>
      <c r="C69" s="324"/>
      <c r="D69" s="324"/>
      <c r="E69" s="336">
        <v>16938</v>
      </c>
      <c r="G69" s="326">
        <v>30</v>
      </c>
      <c r="H69" s="324"/>
      <c r="I69" s="324"/>
      <c r="J69" s="336">
        <v>12117</v>
      </c>
    </row>
    <row r="70" spans="2:18" x14ac:dyDescent="0.15">
      <c r="B70" s="326">
        <v>37</v>
      </c>
      <c r="C70" s="324"/>
      <c r="D70" s="324"/>
      <c r="E70" s="336">
        <v>19052</v>
      </c>
      <c r="G70" s="326">
        <v>37</v>
      </c>
      <c r="H70" s="324"/>
      <c r="I70" s="324"/>
      <c r="J70" s="336">
        <v>13104</v>
      </c>
    </row>
    <row r="71" spans="2:18" ht="14.25" thickBot="1" x14ac:dyDescent="0.2">
      <c r="B71" s="349">
        <v>45</v>
      </c>
      <c r="C71" s="333"/>
      <c r="D71" s="333"/>
      <c r="E71" s="339">
        <v>22303</v>
      </c>
      <c r="G71" s="349">
        <v>45</v>
      </c>
      <c r="H71" s="333"/>
      <c r="I71" s="333"/>
      <c r="J71" s="339">
        <v>14819</v>
      </c>
    </row>
    <row r="72" spans="2:18" ht="15" thickTop="1" thickBot="1" x14ac:dyDescent="0.2">
      <c r="B72" s="350" t="s">
        <v>1363</v>
      </c>
      <c r="C72" s="340">
        <f>IF(条件入力!D20="","",VLOOKUP(条件入力!D20,B63:E71,2,FALSE))</f>
        <v>8583</v>
      </c>
      <c r="D72" s="340">
        <f>IF(条件入力!D20="","",VLOOKUP(条件入力!D20,B63:E71,3,FALSE))</f>
        <v>9459</v>
      </c>
      <c r="E72" s="340">
        <f>IF(条件入力!D20="","",VLOOKUP(条件入力!D20,B63:E71,4,FALSE))</f>
        <v>0</v>
      </c>
      <c r="G72" s="334"/>
      <c r="H72" s="340">
        <f>IF(条件入力!D22="","",VLOOKUP(条件入力!D22,G63:J71,2,FALSE))</f>
        <v>5368</v>
      </c>
      <c r="I72" s="340">
        <f>IF(条件入力!D22="","",VLOOKUP(条件入力!D22,G63:J71,3,FALSE))</f>
        <v>6250</v>
      </c>
      <c r="J72" s="334">
        <f>IF(条件入力!D22="","",VLOOKUP(条件入力!D22,G63:J71,4,FALSE))</f>
        <v>0</v>
      </c>
    </row>
    <row r="73" spans="2:18" ht="15" thickTop="1" thickBot="1" x14ac:dyDescent="0.2">
      <c r="B73" s="350" t="s">
        <v>1364</v>
      </c>
      <c r="C73" s="340">
        <f>IF(条件入力!D21="","",VLOOKUP(条件入力!D21,B63:E71,2,FALSE))</f>
        <v>8583</v>
      </c>
      <c r="D73" s="340">
        <f>IF(条件入力!D21="","",VLOOKUP(条件入力!D21,B63:E71,3,FALSE))</f>
        <v>9459</v>
      </c>
      <c r="E73" s="340">
        <f>IF(条件入力!D21="","",VLOOKUP(条件入力!D21,B63:E71,4,FALSE))</f>
        <v>0</v>
      </c>
    </row>
    <row r="74" spans="2:18" ht="14.25" thickTop="1" x14ac:dyDescent="0.15"/>
    <row r="76" spans="2:18" x14ac:dyDescent="0.15">
      <c r="C76" s="826"/>
      <c r="D76" s="826"/>
      <c r="I76" s="826"/>
      <c r="J76" s="826"/>
      <c r="O76" s="826"/>
      <c r="P76" s="826"/>
    </row>
    <row r="77" spans="2:18" x14ac:dyDescent="0.15">
      <c r="C77" s="354"/>
      <c r="D77" s="354"/>
      <c r="E77" s="354"/>
      <c r="F77" s="354"/>
      <c r="I77" s="354"/>
      <c r="J77" s="354"/>
      <c r="K77" s="354"/>
      <c r="L77" s="354"/>
      <c r="O77" s="354"/>
      <c r="P77" s="354"/>
      <c r="Q77" s="354"/>
      <c r="R77" s="354"/>
    </row>
    <row r="85" spans="2:12" x14ac:dyDescent="0.15">
      <c r="B85" s="181" t="s">
        <v>1365</v>
      </c>
    </row>
    <row r="86" spans="2:12" x14ac:dyDescent="0.15">
      <c r="B86" s="324"/>
      <c r="C86" s="326" t="s">
        <v>666</v>
      </c>
      <c r="D86" s="326" t="s">
        <v>1311</v>
      </c>
      <c r="E86" s="326" t="s">
        <v>650</v>
      </c>
      <c r="F86" s="326" t="s">
        <v>614</v>
      </c>
      <c r="G86" s="326" t="s">
        <v>1366</v>
      </c>
      <c r="H86" s="326" t="s">
        <v>652</v>
      </c>
      <c r="I86" s="326" t="s">
        <v>653</v>
      </c>
      <c r="J86" s="326" t="s">
        <v>654</v>
      </c>
      <c r="K86" s="326" t="s">
        <v>655</v>
      </c>
      <c r="L86" s="326" t="s">
        <v>656</v>
      </c>
    </row>
    <row r="87" spans="2:12" x14ac:dyDescent="0.15">
      <c r="B87" s="324">
        <v>250</v>
      </c>
      <c r="C87" s="324">
        <f>IF(条件入力!D18=1,1.6,1.8)</f>
        <v>1.8</v>
      </c>
      <c r="D87" s="324">
        <f>IF(条件入力!D18=1,2.9,3.6)</f>
        <v>3.6</v>
      </c>
      <c r="E87" s="324">
        <f>IF(条件入力!D18=1,4.5,5.2)</f>
        <v>5.2</v>
      </c>
      <c r="F87" s="324"/>
      <c r="G87" s="324">
        <f>IF(条件入力!D18=1,4.8,5.6)</f>
        <v>5.6</v>
      </c>
      <c r="H87" s="324"/>
      <c r="I87" s="324"/>
      <c r="J87" s="324"/>
      <c r="K87" s="324"/>
      <c r="L87" s="324"/>
    </row>
    <row r="88" spans="2:12" x14ac:dyDescent="0.15">
      <c r="B88" s="324">
        <v>300</v>
      </c>
      <c r="C88" s="324">
        <f>IF(条件入力!D18=1,1.6,1.8)</f>
        <v>1.8</v>
      </c>
      <c r="D88" s="324">
        <f>IF(条件入力!D18=1,2.9,3.6)</f>
        <v>3.6</v>
      </c>
      <c r="E88" s="324">
        <f>IF(条件入力!D18=1,4.5,5.2)</f>
        <v>5.2</v>
      </c>
      <c r="F88" s="324"/>
      <c r="G88" s="324">
        <f>IF(条件入力!D18=1,4.8,5.6)</f>
        <v>5.6</v>
      </c>
      <c r="H88" s="324"/>
      <c r="I88" s="324"/>
      <c r="J88" s="324"/>
      <c r="K88" s="324"/>
      <c r="L88" s="324"/>
    </row>
    <row r="89" spans="2:12" x14ac:dyDescent="0.15">
      <c r="B89" s="324">
        <v>350</v>
      </c>
      <c r="C89" s="324">
        <f>IF(条件入力!D18=1,1.8,2.3)</f>
        <v>2.2999999999999998</v>
      </c>
      <c r="D89" s="324">
        <f>IF(条件入力!D18=1,3.2,4)</f>
        <v>4</v>
      </c>
      <c r="E89" s="324">
        <f>IF(条件入力!D18=1,4.8,5.6)</f>
        <v>5.6</v>
      </c>
      <c r="F89" s="324"/>
      <c r="G89" s="324">
        <f>IF(条件入力!D18=1,5.1,5.9)</f>
        <v>5.9</v>
      </c>
      <c r="H89" s="324">
        <f>IF(条件入力!D18=1,5.5,6.2)</f>
        <v>6.2</v>
      </c>
      <c r="I89" s="324"/>
      <c r="J89" s="324"/>
      <c r="K89" s="324"/>
      <c r="L89" s="324"/>
    </row>
    <row r="90" spans="2:12" x14ac:dyDescent="0.15">
      <c r="B90" s="324">
        <v>400</v>
      </c>
      <c r="C90" s="324">
        <f>IF(条件入力!D18=1,1.8,2.3)</f>
        <v>2.2999999999999998</v>
      </c>
      <c r="D90" s="324">
        <f>IF(条件入力!D18=1,3.2,4)</f>
        <v>4</v>
      </c>
      <c r="E90" s="324">
        <f>IF(条件入力!D18=1,4.8,5.6)</f>
        <v>5.6</v>
      </c>
      <c r="F90" s="324"/>
      <c r="G90" s="324">
        <f>IF(条件入力!D18=1,5.1,5.9)</f>
        <v>5.9</v>
      </c>
      <c r="H90" s="324">
        <f>IF(条件入力!D18=1,5.5,6.2)</f>
        <v>6.2</v>
      </c>
      <c r="I90" s="324"/>
      <c r="J90" s="324"/>
      <c r="K90" s="324"/>
      <c r="L90" s="324"/>
    </row>
    <row r="91" spans="2:12" x14ac:dyDescent="0.15">
      <c r="B91" s="324">
        <v>450</v>
      </c>
      <c r="C91" s="324">
        <f>IF(条件入力!D18=1,1.8,2.3)</f>
        <v>2.2999999999999998</v>
      </c>
      <c r="D91" s="324">
        <f>IF(条件入力!D18=1,3.2,4)</f>
        <v>4</v>
      </c>
      <c r="E91" s="324">
        <f>IF(条件入力!D18=1,4.8,5.6)</f>
        <v>5.6</v>
      </c>
      <c r="F91" s="324"/>
      <c r="G91" s="324">
        <f>IF(条件入力!D18=1,5.1,5.9)</f>
        <v>5.9</v>
      </c>
      <c r="H91" s="324">
        <f>IF(条件入力!D18=1,5.5,6.2)</f>
        <v>6.2</v>
      </c>
      <c r="I91" s="324"/>
      <c r="J91" s="324"/>
      <c r="K91" s="324"/>
      <c r="L91" s="324"/>
    </row>
    <row r="92" spans="2:12" x14ac:dyDescent="0.15">
      <c r="B92" s="329">
        <v>500</v>
      </c>
      <c r="C92" s="329">
        <f>IF(条件入力!D18=1,1.8,2.3)</f>
        <v>2.2999999999999998</v>
      </c>
      <c r="D92" s="329">
        <f>IF(条件入力!D18=1,3.2,4)</f>
        <v>4</v>
      </c>
      <c r="E92" s="329">
        <f>IF(条件入力!D18=1,4.8,5.6)</f>
        <v>5.6</v>
      </c>
      <c r="F92" s="329"/>
      <c r="G92" s="329">
        <f>IF(条件入力!D18=1,5.1,5.9)</f>
        <v>5.9</v>
      </c>
      <c r="H92" s="329">
        <f>IF(条件入力!D18=1,5.5,6.2)</f>
        <v>6.2</v>
      </c>
      <c r="I92" s="329"/>
      <c r="J92" s="329"/>
      <c r="K92" s="329"/>
      <c r="L92" s="329"/>
    </row>
    <row r="93" spans="2:12" x14ac:dyDescent="0.15">
      <c r="B93" s="324">
        <v>600</v>
      </c>
      <c r="C93" s="324">
        <f>IF(条件入力!D18=1,0,3.2)</f>
        <v>3.2</v>
      </c>
      <c r="D93" s="324">
        <f>IF(条件入力!D18=1,0,4.2)</f>
        <v>4.2</v>
      </c>
      <c r="E93" s="324">
        <f>IF(条件入力!D18=1,0,5.8)</f>
        <v>5.8</v>
      </c>
      <c r="F93" s="324">
        <f>IF(条件入力!D18=1,0,5.8)</f>
        <v>5.8</v>
      </c>
      <c r="G93" s="324">
        <f>IF(条件入力!D18=1,0,5.9)</f>
        <v>5.9</v>
      </c>
      <c r="H93" s="324">
        <f>IF(条件入力!D18=1,0,5.9)</f>
        <v>5.9</v>
      </c>
      <c r="I93" s="324">
        <f>IF(条件入力!D18=1,0,6.5)</f>
        <v>6.5</v>
      </c>
      <c r="J93" s="324">
        <f>IF(条件入力!D18=1,0,6.9)</f>
        <v>6.9</v>
      </c>
      <c r="K93" s="324">
        <f>IF(条件入力!D18=1,0,7.1)</f>
        <v>7.1</v>
      </c>
      <c r="L93" s="324">
        <f>IF(条件入力!D18=1,0,7.3)</f>
        <v>7.3</v>
      </c>
    </row>
    <row r="94" spans="2:12" ht="14.25" thickBot="1" x14ac:dyDescent="0.2">
      <c r="B94" s="333">
        <v>700</v>
      </c>
      <c r="C94" s="333">
        <f>IF(条件入力!D18=1,0,3.2)</f>
        <v>3.2</v>
      </c>
      <c r="D94" s="333">
        <f>IF(条件入力!D18=1,0,4.2)</f>
        <v>4.2</v>
      </c>
      <c r="E94" s="333">
        <f>IF(条件入力!D18=1,0,5.8)</f>
        <v>5.8</v>
      </c>
      <c r="F94" s="333">
        <f>IF(条件入力!D18=1,0,5.8)</f>
        <v>5.8</v>
      </c>
      <c r="G94" s="333">
        <f>IF(条件入力!D18=1,0,5.9)</f>
        <v>5.9</v>
      </c>
      <c r="H94" s="333">
        <f>IF(条件入力!D18=1,0,5.9)</f>
        <v>5.9</v>
      </c>
      <c r="I94" s="333">
        <f>IF(条件入力!D18=1,0,6.5)</f>
        <v>6.5</v>
      </c>
      <c r="J94" s="333">
        <f>IF(条件入力!D18=1,0,6.9)</f>
        <v>6.9</v>
      </c>
      <c r="K94" s="333">
        <f>IF(条件入力!D18=1,0,7.1)</f>
        <v>7.1</v>
      </c>
      <c r="L94" s="333">
        <f>IF(条件入力!D18=1,0,7.3)</f>
        <v>7.3</v>
      </c>
    </row>
    <row r="95" spans="2:12" ht="15" thickTop="1" thickBot="1" x14ac:dyDescent="0.2">
      <c r="B95" s="334"/>
      <c r="C95" s="334">
        <f>IF(条件入力!D8="","",VLOOKUP(条件入力!D8,B87:L94,2,FALSE))</f>
        <v>2.2999999999999998</v>
      </c>
      <c r="D95" s="334">
        <f>IF(条件入力!D8="","",VLOOKUP(条件入力!D8,B87:L94,3,FALSE))</f>
        <v>4</v>
      </c>
      <c r="E95" s="334">
        <f>IF(条件入力!D8="","",VLOOKUP(条件入力!D8,B87:L94,4,FALSE))</f>
        <v>5.6</v>
      </c>
      <c r="F95" s="334">
        <f>IF(条件入力!D8="","",VLOOKUP(条件入力!D8,B87:L94,5,FALSE))</f>
        <v>0</v>
      </c>
      <c r="G95" s="334">
        <f>IF(条件入力!D8="","",VLOOKUP(条件入力!D8,B87:L94,6,FALSE))</f>
        <v>5.9</v>
      </c>
      <c r="H95" s="334">
        <f>IF(条件入力!D8="","",VLOOKUP(条件入力!D8,B87:L94,7,FALSE))</f>
        <v>6.2</v>
      </c>
      <c r="I95" s="334">
        <f>IF(条件入力!D8="","",VLOOKUP(条件入力!D8,B87:L94,8,FALSE))</f>
        <v>0</v>
      </c>
      <c r="J95" s="334">
        <f>IF(条件入力!D8="","",VLOOKUP(条件入力!D8,B87:L94,9,FALSE))</f>
        <v>0</v>
      </c>
      <c r="K95" s="334">
        <f>IF(条件入力!D8="","",VLOOKUP(条件入力!D8,B87:L94,10,FALSE))</f>
        <v>0</v>
      </c>
      <c r="L95" s="334">
        <f>IF(条件入力!D8="","",VLOOKUP(条件入力!D8,B87:L94,11,FALSE))</f>
        <v>0</v>
      </c>
    </row>
    <row r="96" spans="2:12" ht="14.25" thickTop="1" x14ac:dyDescent="0.15"/>
    <row r="97" spans="2:12" x14ac:dyDescent="0.15">
      <c r="B97" s="181" t="s">
        <v>1367</v>
      </c>
    </row>
    <row r="98" spans="2:12" x14ac:dyDescent="0.15">
      <c r="B98" s="324"/>
      <c r="C98" s="326" t="s">
        <v>666</v>
      </c>
      <c r="D98" s="326" t="s">
        <v>1311</v>
      </c>
      <c r="E98" s="326" t="s">
        <v>650</v>
      </c>
      <c r="F98" s="326" t="s">
        <v>614</v>
      </c>
      <c r="G98" s="326" t="s">
        <v>1366</v>
      </c>
      <c r="H98" s="326" t="s">
        <v>652</v>
      </c>
      <c r="I98" s="326" t="s">
        <v>653</v>
      </c>
      <c r="J98" s="326" t="s">
        <v>654</v>
      </c>
      <c r="K98" s="326" t="s">
        <v>655</v>
      </c>
      <c r="L98" s="326" t="s">
        <v>656</v>
      </c>
    </row>
    <row r="99" spans="2:12" x14ac:dyDescent="0.15">
      <c r="B99" s="324">
        <v>250</v>
      </c>
      <c r="C99" s="324">
        <f>IF(条件入力!D18=1,1.9,2.3)</f>
        <v>2.2999999999999998</v>
      </c>
      <c r="D99" s="324">
        <f>IF(条件入力!D18=1,3.2,3.9)</f>
        <v>3.9</v>
      </c>
      <c r="E99" s="324">
        <f>IF(条件入力!D18=1,14.6,5.4)</f>
        <v>5.4</v>
      </c>
      <c r="F99" s="324"/>
      <c r="G99" s="324">
        <f>IF(条件入力!D18=1,5,5.8)</f>
        <v>5.8</v>
      </c>
      <c r="H99" s="324"/>
      <c r="I99" s="324"/>
      <c r="J99" s="324"/>
      <c r="K99" s="324"/>
      <c r="L99" s="324"/>
    </row>
    <row r="100" spans="2:12" x14ac:dyDescent="0.15">
      <c r="B100" s="324">
        <v>300</v>
      </c>
      <c r="C100" s="324">
        <f>IF(条件入力!D18=1,1.9,2.3)</f>
        <v>2.2999999999999998</v>
      </c>
      <c r="D100" s="324">
        <f>IF(条件入力!D18=1,3.2,3.9)</f>
        <v>3.9</v>
      </c>
      <c r="E100" s="324">
        <f>IF(条件入力!D18=1,14.6,5.4)</f>
        <v>5.4</v>
      </c>
      <c r="F100" s="324"/>
      <c r="G100" s="324">
        <f>IF(条件入力!D18=1,5,5.8)</f>
        <v>5.8</v>
      </c>
      <c r="H100" s="324"/>
      <c r="I100" s="324"/>
      <c r="J100" s="324"/>
      <c r="K100" s="324"/>
      <c r="L100" s="324"/>
    </row>
    <row r="101" spans="2:12" x14ac:dyDescent="0.15">
      <c r="B101" s="324">
        <v>350</v>
      </c>
      <c r="C101" s="324">
        <f>IF(条件入力!D18=1,2.1,2.7)</f>
        <v>2.7</v>
      </c>
      <c r="D101" s="324">
        <f>IF(条件入力!D18=1,3.5,4.3)</f>
        <v>4.3</v>
      </c>
      <c r="E101" s="324">
        <f>IF(条件入力!D18=1,5,5.8)</f>
        <v>5.8</v>
      </c>
      <c r="F101" s="324"/>
      <c r="G101" s="324">
        <f>IF(条件入力!D18=1,5.3,6.1)</f>
        <v>6.1</v>
      </c>
      <c r="H101" s="324">
        <f>IF(条件入力!D18=1,5.7,6.3)</f>
        <v>6.3</v>
      </c>
      <c r="I101" s="324"/>
      <c r="J101" s="324"/>
      <c r="K101" s="324"/>
      <c r="L101" s="324"/>
    </row>
    <row r="102" spans="2:12" x14ac:dyDescent="0.15">
      <c r="B102" s="324">
        <v>400</v>
      </c>
      <c r="C102" s="324">
        <f>IF(条件入力!D18=1,2.1,2.7)</f>
        <v>2.7</v>
      </c>
      <c r="D102" s="324">
        <f>IF(条件入力!D18=1,3.5,4.3)</f>
        <v>4.3</v>
      </c>
      <c r="E102" s="324">
        <f>IF(条件入力!D18=1,5,5.8)</f>
        <v>5.8</v>
      </c>
      <c r="F102" s="324"/>
      <c r="G102" s="324">
        <f>IF(条件入力!D18=1,5.3,6.1)</f>
        <v>6.1</v>
      </c>
      <c r="H102" s="324">
        <f>IF(条件入力!D18=1,5.7,6.3)</f>
        <v>6.3</v>
      </c>
      <c r="I102" s="324"/>
      <c r="J102" s="324"/>
      <c r="K102" s="324"/>
      <c r="L102" s="324"/>
    </row>
    <row r="103" spans="2:12" x14ac:dyDescent="0.15">
      <c r="B103" s="324">
        <v>450</v>
      </c>
      <c r="C103" s="324">
        <f>IF(条件入力!D18=1,2.1,2.7)</f>
        <v>2.7</v>
      </c>
      <c r="D103" s="324">
        <f>IF(条件入力!D18=1,3.5,4.3)</f>
        <v>4.3</v>
      </c>
      <c r="E103" s="324">
        <f>IF(条件入力!D18=1,5,5.8)</f>
        <v>5.8</v>
      </c>
      <c r="F103" s="324"/>
      <c r="G103" s="324">
        <f>IF(条件入力!D18=1,5.3,6.1)</f>
        <v>6.1</v>
      </c>
      <c r="H103" s="324">
        <f>IF(条件入力!D18=1,5.7,6.3)</f>
        <v>6.3</v>
      </c>
      <c r="I103" s="324"/>
      <c r="J103" s="324"/>
      <c r="K103" s="324"/>
      <c r="L103" s="324"/>
    </row>
    <row r="104" spans="2:12" x14ac:dyDescent="0.15">
      <c r="B104" s="329">
        <v>500</v>
      </c>
      <c r="C104" s="329">
        <f>IF(条件入力!D18=1,2.1,2.7)</f>
        <v>2.7</v>
      </c>
      <c r="D104" s="329">
        <f>IF(条件入力!D18=1,3.5,4.3)</f>
        <v>4.3</v>
      </c>
      <c r="E104" s="329">
        <f>IF(条件入力!D18=1,5,5.8)</f>
        <v>5.8</v>
      </c>
      <c r="F104" s="329"/>
      <c r="G104" s="329">
        <f>IF(条件入力!D18=1,5.3,6.1)</f>
        <v>6.1</v>
      </c>
      <c r="H104" s="329">
        <f>IF(条件入力!D18=1,5.7,6.3)</f>
        <v>6.3</v>
      </c>
      <c r="I104" s="329"/>
      <c r="J104" s="329"/>
      <c r="K104" s="329"/>
      <c r="L104" s="329"/>
    </row>
    <row r="105" spans="2:12" x14ac:dyDescent="0.15">
      <c r="B105" s="324">
        <v>600</v>
      </c>
      <c r="C105" s="324">
        <f>IF(条件入力!D18=1,0,3.5)</f>
        <v>3.5</v>
      </c>
      <c r="D105" s="324">
        <f>IF(条件入力!D18=1,0,4.5)</f>
        <v>4.5</v>
      </c>
      <c r="E105" s="324">
        <f>IF(条件入力!D18=1,0,5.9)</f>
        <v>5.9</v>
      </c>
      <c r="F105" s="324">
        <f>IF(条件入力!D18=1,20,5.9)</f>
        <v>5.9</v>
      </c>
      <c r="G105" s="324">
        <f>IF(条件入力!D18=1,0,6.1)</f>
        <v>6.1</v>
      </c>
      <c r="H105" s="324">
        <f>IF(条件入力!D18=1,0,6.1)</f>
        <v>6.1</v>
      </c>
      <c r="I105" s="324">
        <f>IF(条件入力!D18=1,0,6.6)</f>
        <v>6.6</v>
      </c>
      <c r="J105" s="324">
        <f>IF(条件入力!D18=1,0,7)</f>
        <v>7</v>
      </c>
      <c r="K105" s="324">
        <f>IF(条件入力!D18=1,0,7.2)</f>
        <v>7.2</v>
      </c>
      <c r="L105" s="324">
        <f>IF(条件入力!D18=1,0,7.4)</f>
        <v>7.4</v>
      </c>
    </row>
    <row r="106" spans="2:12" ht="14.25" thickBot="1" x14ac:dyDescent="0.2">
      <c r="B106" s="333">
        <v>700</v>
      </c>
      <c r="C106" s="333">
        <f>IF(条件入力!D18=1,0,3.5)</f>
        <v>3.5</v>
      </c>
      <c r="D106" s="333">
        <f>IF(条件入力!D18=1,0,4.5)</f>
        <v>4.5</v>
      </c>
      <c r="E106" s="333">
        <f>IF(条件入力!D18=1,0,5.9)</f>
        <v>5.9</v>
      </c>
      <c r="F106" s="333">
        <f>IF(条件入力!D18=1,0,5.9)</f>
        <v>5.9</v>
      </c>
      <c r="G106" s="333">
        <f>IF(条件入力!D18=1,0,6.1)</f>
        <v>6.1</v>
      </c>
      <c r="H106" s="333">
        <f>IF(条件入力!D18=1,0,6.1)</f>
        <v>6.1</v>
      </c>
      <c r="I106" s="333">
        <f>IF(条件入力!D18=1,0,6.6)</f>
        <v>6.6</v>
      </c>
      <c r="J106" s="333">
        <f>IF(条件入力!D18=1,0,7)</f>
        <v>7</v>
      </c>
      <c r="K106" s="333">
        <f>IF(条件入力!D18=1,0,7.2)</f>
        <v>7.2</v>
      </c>
      <c r="L106" s="333">
        <f>IF(条件入力!D18=1,0,7.4)</f>
        <v>7.4</v>
      </c>
    </row>
    <row r="107" spans="2:12" ht="15" thickTop="1" thickBot="1" x14ac:dyDescent="0.2">
      <c r="B107" s="334"/>
      <c r="C107" s="334">
        <f>IF(条件入力!D8="","",VLOOKUP(条件入力!D8,B99:L106,2,FALSE))</f>
        <v>2.7</v>
      </c>
      <c r="D107" s="334">
        <f>IF(条件入力!D8="","",VLOOKUP(条件入力!D8,B99:L106,3,FALSE))</f>
        <v>4.3</v>
      </c>
      <c r="E107" s="334">
        <f>IF(条件入力!D8="","",VLOOKUP(条件入力!D8,B99:L106,4,FALSE))</f>
        <v>5.8</v>
      </c>
      <c r="F107" s="334">
        <f>IF(条件入力!D8="","",VLOOKUP(条件入力!D8,B99:L106,5,FALSE))</f>
        <v>0</v>
      </c>
      <c r="G107" s="334">
        <f>IF(条件入力!D8="","",VLOOKUP(条件入力!D8,B99:L106,6,FALSE))</f>
        <v>6.1</v>
      </c>
      <c r="H107" s="334">
        <f>IF(条件入力!D8="","",VLOOKUP(条件入力!D8,B99:L106,7,FALSE))</f>
        <v>6.3</v>
      </c>
      <c r="I107" s="334">
        <f>IF(条件入力!D8="","",VLOOKUP(条件入力!D8,B99:L106,8,FALSE))</f>
        <v>0</v>
      </c>
      <c r="J107" s="334">
        <f>IF(条件入力!D8="","",VLOOKUP(条件入力!D8,B99:L106,9,FALSE))</f>
        <v>0</v>
      </c>
      <c r="K107" s="334">
        <f>IF(条件入力!D8="","",VLOOKUP(条件入力!D8,B99:L106,10,FALSE))</f>
        <v>0</v>
      </c>
      <c r="L107" s="334">
        <f>IF(条件入力!D8="","",VLOOKUP(条件入力!D8,B99:L106,11,FALSE))</f>
        <v>0</v>
      </c>
    </row>
    <row r="108" spans="2:12" ht="14.25" thickTop="1" x14ac:dyDescent="0.15"/>
    <row r="110" spans="2:12" x14ac:dyDescent="0.15">
      <c r="B110" s="181" t="s">
        <v>1368</v>
      </c>
    </row>
    <row r="111" spans="2:12" x14ac:dyDescent="0.15">
      <c r="B111" s="324"/>
      <c r="C111" s="326" t="s">
        <v>666</v>
      </c>
      <c r="D111" s="326" t="s">
        <v>1311</v>
      </c>
      <c r="E111" s="326" t="s">
        <v>650</v>
      </c>
      <c r="F111" s="326" t="s">
        <v>614</v>
      </c>
      <c r="G111" s="326" t="s">
        <v>1366</v>
      </c>
      <c r="H111" s="326" t="s">
        <v>652</v>
      </c>
      <c r="I111" s="326" t="s">
        <v>653</v>
      </c>
      <c r="J111" s="326" t="s">
        <v>654</v>
      </c>
      <c r="K111" s="326" t="s">
        <v>655</v>
      </c>
      <c r="L111" s="326" t="s">
        <v>656</v>
      </c>
    </row>
    <row r="112" spans="2:12" x14ac:dyDescent="0.15">
      <c r="B112" s="324">
        <v>250</v>
      </c>
      <c r="C112" s="324">
        <f>IF(条件入力!D18=1,2.5,2.7)</f>
        <v>2.7</v>
      </c>
      <c r="D112" s="324">
        <f>IF(条件入力!D18=1,3.6,4.2)</f>
        <v>4.2</v>
      </c>
      <c r="E112" s="324">
        <f>IF(条件入力!D18=1,4.9,5.6)</f>
        <v>5.6</v>
      </c>
      <c r="F112" s="324"/>
      <c r="G112" s="324">
        <f>IF(条件入力!D18=1,5.2,6)</f>
        <v>6</v>
      </c>
      <c r="H112" s="324"/>
      <c r="I112" s="324"/>
      <c r="J112" s="324"/>
      <c r="K112" s="324"/>
      <c r="L112" s="324"/>
    </row>
    <row r="113" spans="2:20" x14ac:dyDescent="0.15">
      <c r="B113" s="324">
        <v>300</v>
      </c>
      <c r="C113" s="324">
        <f>IF(条件入力!D18=1,2.5,2.7)</f>
        <v>2.7</v>
      </c>
      <c r="D113" s="324">
        <f>IF(条件入力!D18=1,3.6,4.2)</f>
        <v>4.2</v>
      </c>
      <c r="E113" s="324">
        <f>IF(条件入力!D18=1,4.9,5.6)</f>
        <v>5.6</v>
      </c>
      <c r="F113" s="324"/>
      <c r="G113" s="324">
        <f>IF(条件入力!D18=1,5.2,6)</f>
        <v>6</v>
      </c>
      <c r="H113" s="324"/>
      <c r="I113" s="324"/>
      <c r="J113" s="324"/>
      <c r="K113" s="324"/>
      <c r="L113" s="324"/>
    </row>
    <row r="114" spans="2:20" x14ac:dyDescent="0.15">
      <c r="B114" s="324">
        <v>350</v>
      </c>
      <c r="C114" s="324">
        <f>IF(条件入力!D18=1,2.6,3)</f>
        <v>3</v>
      </c>
      <c r="D114" s="324">
        <f>IF(条件入力!D18=1,3.9,4.5)</f>
        <v>4.5</v>
      </c>
      <c r="E114" s="324">
        <f>IF(条件入力!D18=1,5.2,5.9)</f>
        <v>5.9</v>
      </c>
      <c r="F114" s="324"/>
      <c r="G114" s="324">
        <f>IF(条件入力!D18=1,5.5,6.2)</f>
        <v>6.2</v>
      </c>
      <c r="H114" s="324">
        <f>IF(条件入力!D18=1,5.7,6.4)</f>
        <v>6.4</v>
      </c>
      <c r="I114" s="324"/>
      <c r="J114" s="324"/>
      <c r="K114" s="324"/>
      <c r="L114" s="324"/>
    </row>
    <row r="115" spans="2:20" x14ac:dyDescent="0.15">
      <c r="B115" s="324">
        <v>400</v>
      </c>
      <c r="C115" s="324">
        <f>IF(条件入力!D18=1,2.6,3)</f>
        <v>3</v>
      </c>
      <c r="D115" s="324">
        <f>IF(条件入力!D18=1,3.9,4.5)</f>
        <v>4.5</v>
      </c>
      <c r="E115" s="324">
        <f>IF(条件入力!D18=1,5.2,5.9)</f>
        <v>5.9</v>
      </c>
      <c r="F115" s="324"/>
      <c r="G115" s="324">
        <f>IF(条件入力!D18=1,5.5,6.2)</f>
        <v>6.2</v>
      </c>
      <c r="H115" s="324">
        <f>IF(条件入力!D18=1,5.7,6.4)</f>
        <v>6.4</v>
      </c>
      <c r="I115" s="324"/>
      <c r="J115" s="324"/>
      <c r="K115" s="324"/>
      <c r="L115" s="324"/>
    </row>
    <row r="116" spans="2:20" x14ac:dyDescent="0.15">
      <c r="B116" s="324">
        <v>450</v>
      </c>
      <c r="C116" s="324">
        <f>IF(条件入力!D18=1,2.6,3)</f>
        <v>3</v>
      </c>
      <c r="D116" s="324">
        <f>IF(条件入力!D18=1,3.9,4.5)</f>
        <v>4.5</v>
      </c>
      <c r="E116" s="324">
        <f>IF(条件入力!D18=1,5.2,5.9)</f>
        <v>5.9</v>
      </c>
      <c r="F116" s="324"/>
      <c r="G116" s="324">
        <f>IF(条件入力!D18=1,5.5,6.2)</f>
        <v>6.2</v>
      </c>
      <c r="H116" s="324">
        <f>IF(条件入力!D18=1,5.7,6.4)</f>
        <v>6.4</v>
      </c>
      <c r="I116" s="324"/>
      <c r="J116" s="324"/>
      <c r="K116" s="324"/>
      <c r="L116" s="324"/>
    </row>
    <row r="117" spans="2:20" x14ac:dyDescent="0.15">
      <c r="B117" s="329">
        <v>500</v>
      </c>
      <c r="C117" s="329">
        <f>IF(条件入力!D18=1,2.6,3)</f>
        <v>3</v>
      </c>
      <c r="D117" s="329">
        <f>IF(条件入力!D18=1,3.9,4.5)</f>
        <v>4.5</v>
      </c>
      <c r="E117" s="329">
        <f>IF(条件入力!D18=1,5.2,5.9)</f>
        <v>5.9</v>
      </c>
      <c r="F117" s="329">
        <v>0</v>
      </c>
      <c r="G117" s="329">
        <f>IF(条件入力!D18=1,5.5,6.2)</f>
        <v>6.2</v>
      </c>
      <c r="H117" s="329">
        <f>IF(条件入力!D18=1,5.7,6.4)</f>
        <v>6.4</v>
      </c>
      <c r="I117" s="329"/>
      <c r="J117" s="329"/>
      <c r="K117" s="329"/>
      <c r="L117" s="329"/>
    </row>
    <row r="118" spans="2:20" x14ac:dyDescent="0.15">
      <c r="B118" s="324">
        <v>600</v>
      </c>
      <c r="C118" s="324">
        <f>IF(条件入力!D18=1,0,3.8)</f>
        <v>3.8</v>
      </c>
      <c r="D118" s="324">
        <f>IF(条件入力!D18=1,0,4.7)</f>
        <v>4.7</v>
      </c>
      <c r="E118" s="324">
        <f>IF(条件入力!D18=1,0,6.1)</f>
        <v>6.1</v>
      </c>
      <c r="F118" s="324">
        <f>IF(条件入力!D18=1,0,6.1)</f>
        <v>6.1</v>
      </c>
      <c r="G118" s="324">
        <f>IF(条件入力!D18=1,0,6.2)</f>
        <v>6.2</v>
      </c>
      <c r="H118" s="324">
        <f>IF(条件入力!D18=1,0,6.2)</f>
        <v>6.2</v>
      </c>
      <c r="I118" s="324">
        <f>IF(条件入力!D18=1,0,6.7)</f>
        <v>6.7</v>
      </c>
      <c r="J118" s="324">
        <f>IF(条件入力!D18=1,0,7)</f>
        <v>7</v>
      </c>
      <c r="K118" s="324">
        <f>IF(条件入力!D18=1,0,7.2)</f>
        <v>7.2</v>
      </c>
      <c r="L118" s="324">
        <f>IF(条件入力!D18=1,0,7.4)</f>
        <v>7.4</v>
      </c>
    </row>
    <row r="119" spans="2:20" ht="14.25" thickBot="1" x14ac:dyDescent="0.2">
      <c r="B119" s="333">
        <v>700</v>
      </c>
      <c r="C119" s="333">
        <f>IF(条件入力!D18=1,0,3.8)</f>
        <v>3.8</v>
      </c>
      <c r="D119" s="333">
        <f>IF(条件入力!D18=1,0,4.7)</f>
        <v>4.7</v>
      </c>
      <c r="E119" s="333">
        <f>IF(条件入力!D18=1,0,6.1)</f>
        <v>6.1</v>
      </c>
      <c r="F119" s="333">
        <f>IF(条件入力!D18=1,0,6.1)</f>
        <v>6.1</v>
      </c>
      <c r="G119" s="333">
        <f>IF(条件入力!D18=1,0,6.2)</f>
        <v>6.2</v>
      </c>
      <c r="H119" s="333">
        <f>IF(条件入力!D18=1,0,6.2)</f>
        <v>6.2</v>
      </c>
      <c r="I119" s="333">
        <f>IF(条件入力!D18=1,0,6.7)</f>
        <v>6.7</v>
      </c>
      <c r="J119" s="333">
        <f>IF(条件入力!D18=1,0,7)</f>
        <v>7</v>
      </c>
      <c r="K119" s="333">
        <f>IF(条件入力!D18=1,0,7.2)</f>
        <v>7.2</v>
      </c>
      <c r="L119" s="333">
        <f>IF(条件入力!D18=1,0,7.4)</f>
        <v>7.4</v>
      </c>
    </row>
    <row r="120" spans="2:20" ht="15" thickTop="1" thickBot="1" x14ac:dyDescent="0.2">
      <c r="B120" s="334"/>
      <c r="C120" s="334">
        <f>IF(条件入力!D8="","",VLOOKUP(条件入力!D8,B112:L119,2,FALSE))</f>
        <v>3</v>
      </c>
      <c r="D120" s="334">
        <f>IF(条件入力!D8="","",VLOOKUP(条件入力!D8,B112:L119,3,FALSE))</f>
        <v>4.5</v>
      </c>
      <c r="E120" s="334">
        <f>IF(条件入力!D8="","",VLOOKUP(条件入力!D8,B112:L119,4,FALSE))</f>
        <v>5.9</v>
      </c>
      <c r="F120" s="334">
        <f>IF(条件入力!D8="","",VLOOKUP(条件入力!D8,B112:L119,5,FALSE))</f>
        <v>0</v>
      </c>
      <c r="G120" s="334">
        <f>IF(条件入力!D8="","",VLOOKUP(条件入力!D8,B112:L119,6,FALSE))</f>
        <v>6.2</v>
      </c>
      <c r="H120" s="334">
        <f>IF(条件入力!D8="","",VLOOKUP(条件入力!D8,B112:L119,7,FALSE))</f>
        <v>6.4</v>
      </c>
      <c r="I120" s="334">
        <f>IF(条件入力!D8="","",VLOOKUP(条件入力!D8,B112:L119,8,FALSE))</f>
        <v>0</v>
      </c>
      <c r="J120" s="334">
        <f>IF(条件入力!D8="","",VLOOKUP(条件入力!D8,B112:L119,9,FALSE))</f>
        <v>0</v>
      </c>
      <c r="K120" s="334">
        <f>IF(条件入力!D8="","",VLOOKUP(条件入力!D8,B112:L119,10,FALSE))</f>
        <v>0</v>
      </c>
      <c r="L120" s="334">
        <f>IF(条件入力!D8="","",VLOOKUP(条件入力!D8,B112:L119,11,FALSE))</f>
        <v>0</v>
      </c>
    </row>
    <row r="121" spans="2:20" ht="14.25" thickTop="1" x14ac:dyDescent="0.15">
      <c r="C121" s="181">
        <v>1</v>
      </c>
      <c r="D121" s="181">
        <v>2</v>
      </c>
      <c r="E121" s="181">
        <v>34</v>
      </c>
      <c r="F121" s="181">
        <v>5</v>
      </c>
      <c r="G121" s="181">
        <v>67</v>
      </c>
      <c r="H121" s="181">
        <v>8</v>
      </c>
      <c r="I121" s="181">
        <v>9</v>
      </c>
      <c r="J121" s="181">
        <v>10</v>
      </c>
      <c r="K121" s="181">
        <v>11</v>
      </c>
      <c r="L121" s="181">
        <v>12</v>
      </c>
    </row>
    <row r="122" spans="2:20" x14ac:dyDescent="0.15">
      <c r="B122" s="181" t="s">
        <v>1369</v>
      </c>
    </row>
    <row r="123" spans="2:20" x14ac:dyDescent="0.15">
      <c r="B123" s="324"/>
      <c r="C123" s="324" t="s">
        <v>683</v>
      </c>
      <c r="D123" s="324" t="s">
        <v>185</v>
      </c>
      <c r="E123" s="324" t="s">
        <v>1370</v>
      </c>
      <c r="F123" s="324" t="s">
        <v>1371</v>
      </c>
      <c r="G123" s="324" t="s">
        <v>1372</v>
      </c>
      <c r="H123" s="324" t="s">
        <v>1373</v>
      </c>
      <c r="I123" s="324" t="s">
        <v>1374</v>
      </c>
      <c r="J123" s="324" t="s">
        <v>1375</v>
      </c>
      <c r="K123" s="324" t="s">
        <v>1373</v>
      </c>
      <c r="L123" s="324" t="s">
        <v>1376</v>
      </c>
      <c r="M123" s="324" t="s">
        <v>1377</v>
      </c>
      <c r="N123" s="324" t="s">
        <v>1378</v>
      </c>
      <c r="O123" s="327" t="s">
        <v>1378</v>
      </c>
      <c r="P123" s="324" t="s">
        <v>1379</v>
      </c>
      <c r="Q123" s="324" t="s">
        <v>1380</v>
      </c>
    </row>
    <row r="124" spans="2:20" x14ac:dyDescent="0.15">
      <c r="B124" s="324" t="s">
        <v>1321</v>
      </c>
      <c r="C124" s="326">
        <f>条件入力!O3</f>
        <v>2</v>
      </c>
      <c r="D124" s="335">
        <f>供用日!G5</f>
        <v>14</v>
      </c>
      <c r="E124" s="324">
        <f>IF(C124&lt;9,S124,T124)</f>
        <v>4.5</v>
      </c>
      <c r="F124" s="324">
        <f>積算代価!I613</f>
        <v>9.9</v>
      </c>
      <c r="G124" s="324">
        <f>積算代価!I614</f>
        <v>9.9</v>
      </c>
      <c r="H124" s="324">
        <f>積算代価!I615</f>
        <v>6.75</v>
      </c>
      <c r="I124" s="324">
        <f>D124*E124*F124</f>
        <v>623.70000000000005</v>
      </c>
      <c r="J124" s="324">
        <f>D124*E124*G124</f>
        <v>623.70000000000005</v>
      </c>
      <c r="K124" s="324">
        <f>積算代価!M614</f>
        <v>0</v>
      </c>
      <c r="L124" s="324">
        <f>積算代価!I630</f>
        <v>14.04</v>
      </c>
      <c r="M124" s="324">
        <f>D124*E124*L124</f>
        <v>884.52</v>
      </c>
      <c r="N124" s="324">
        <f>積算代価!I634</f>
        <v>1.98</v>
      </c>
      <c r="O124" s="327">
        <f>D124*E124*N124</f>
        <v>124.74</v>
      </c>
      <c r="P124" s="324">
        <f>積算代価!I632</f>
        <v>1.98</v>
      </c>
      <c r="Q124" s="324">
        <f>D124*E124*P124</f>
        <v>124.74</v>
      </c>
      <c r="S124" s="181">
        <f>IF(C124=1,C120,IF(C124=2,D120,IF(C124=3,E120,IF(C124=4,E120,IF(C124=5,F120,IF(C124=6,G120,IF(C124=7,G120,IF(C124=8,H120,0))))))))</f>
        <v>4.5</v>
      </c>
      <c r="T124" s="181">
        <f>IF(C124=9,I120,IF(C124=10,J120,IF(C124=11,K120,IF(C120=12,L120,0))))</f>
        <v>0</v>
      </c>
    </row>
    <row r="125" spans="2:20" x14ac:dyDescent="0.15">
      <c r="B125" s="324" t="s">
        <v>1322</v>
      </c>
      <c r="C125" s="326">
        <f>条件入力!O4</f>
        <v>0</v>
      </c>
      <c r="D125" s="335">
        <f>供用日!G6</f>
        <v>0</v>
      </c>
      <c r="E125" s="324">
        <f t="shared" ref="E125:E138" si="1">IF(C125&lt;9,S125,T125)</f>
        <v>0</v>
      </c>
      <c r="F125" s="324">
        <f>積算代価!I613</f>
        <v>9.9</v>
      </c>
      <c r="G125" s="324">
        <f>積算代価!I614</f>
        <v>9.9</v>
      </c>
      <c r="H125" s="324">
        <f>積算代価!I615</f>
        <v>6.75</v>
      </c>
      <c r="I125" s="324">
        <f t="shared" ref="I125:I138" si="2">D125*E125*F125</f>
        <v>0</v>
      </c>
      <c r="J125" s="324">
        <f t="shared" ref="J125:J138" si="3">D125*E125*G125</f>
        <v>0</v>
      </c>
      <c r="K125" s="324">
        <f>積算代価!M614</f>
        <v>0</v>
      </c>
      <c r="L125" s="324">
        <f>積算代価!I630</f>
        <v>14.04</v>
      </c>
      <c r="M125" s="324">
        <f t="shared" ref="M125:M138" si="4">D125*E125*L125</f>
        <v>0</v>
      </c>
      <c r="N125" s="324">
        <f>積算代価!I634</f>
        <v>1.98</v>
      </c>
      <c r="O125" s="327">
        <f t="shared" ref="O125:O138" si="5">D125*E125*N125</f>
        <v>0</v>
      </c>
      <c r="P125" s="324">
        <f>積算代価!I632</f>
        <v>1.98</v>
      </c>
      <c r="Q125" s="324">
        <f t="shared" ref="Q125:Q138" si="6">D125*E125*P125</f>
        <v>0</v>
      </c>
      <c r="S125" s="181">
        <f>IF(C125=1,C120,IF(C125=2,D120,IF(C125=3,E120,IF(C125=4,E120,IF(C125=5,F120,IF(C125=6,G120,IF(C125=7,G120,IF(C125=8,H120,0))))))))</f>
        <v>0</v>
      </c>
      <c r="T125" s="181">
        <f>IF(C125=9,I120,IF(C125=10,J120,IF(C125=11,K120,IF(C120=12,L120,0))))</f>
        <v>0</v>
      </c>
    </row>
    <row r="126" spans="2:20" x14ac:dyDescent="0.15">
      <c r="B126" s="324" t="s">
        <v>1326</v>
      </c>
      <c r="C126" s="326">
        <f>条件入力!O5</f>
        <v>0</v>
      </c>
      <c r="D126" s="335">
        <f>供用日!G7</f>
        <v>0</v>
      </c>
      <c r="E126" s="324">
        <f t="shared" si="1"/>
        <v>0</v>
      </c>
      <c r="F126" s="324">
        <f>積算代価!I613</f>
        <v>9.9</v>
      </c>
      <c r="G126" s="324">
        <f>積算代価!I614</f>
        <v>9.9</v>
      </c>
      <c r="H126" s="324">
        <f>積算代価!I615</f>
        <v>6.75</v>
      </c>
      <c r="I126" s="324">
        <f t="shared" si="2"/>
        <v>0</v>
      </c>
      <c r="J126" s="324">
        <f t="shared" si="3"/>
        <v>0</v>
      </c>
      <c r="K126" s="324">
        <f>積算代価!M614</f>
        <v>0</v>
      </c>
      <c r="L126" s="324">
        <f>積算代価!I630</f>
        <v>14.04</v>
      </c>
      <c r="M126" s="324">
        <f t="shared" si="4"/>
        <v>0</v>
      </c>
      <c r="N126" s="324">
        <f>積算代価!I634</f>
        <v>1.98</v>
      </c>
      <c r="O126" s="327">
        <f t="shared" si="5"/>
        <v>0</v>
      </c>
      <c r="P126" s="324">
        <f>積算代価!I632</f>
        <v>1.98</v>
      </c>
      <c r="Q126" s="324">
        <f t="shared" si="6"/>
        <v>0</v>
      </c>
      <c r="S126" s="181">
        <f>IF(C126=1,C120,IF(C126=2,D120,IF(C126=3,E120,IF(C126=4,E120,IF(C126=5,F120,IF(C126=6,G120,IF(C126=7,G120,IF(C126=8,H120,0))))))))</f>
        <v>0</v>
      </c>
      <c r="T126" s="181">
        <f>IF(C126=9,I120,IF(C126=10,J120,IF(C126=11,K120,IF(C120=12,L120,0))))</f>
        <v>0</v>
      </c>
    </row>
    <row r="127" spans="2:20" x14ac:dyDescent="0.15">
      <c r="B127" s="324" t="s">
        <v>1330</v>
      </c>
      <c r="C127" s="326">
        <f>条件入力!O6</f>
        <v>0</v>
      </c>
      <c r="D127" s="335">
        <f>供用日!G8</f>
        <v>0</v>
      </c>
      <c r="E127" s="324">
        <f t="shared" si="1"/>
        <v>0</v>
      </c>
      <c r="F127" s="324">
        <f>積算代価!I613</f>
        <v>9.9</v>
      </c>
      <c r="G127" s="324">
        <f>積算代価!I614</f>
        <v>9.9</v>
      </c>
      <c r="H127" s="324">
        <f>積算代価!I615</f>
        <v>6.75</v>
      </c>
      <c r="I127" s="324">
        <f t="shared" si="2"/>
        <v>0</v>
      </c>
      <c r="J127" s="324">
        <f t="shared" si="3"/>
        <v>0</v>
      </c>
      <c r="K127" s="324">
        <f>積算代価!M614</f>
        <v>0</v>
      </c>
      <c r="L127" s="324">
        <f>積算代価!I630</f>
        <v>14.04</v>
      </c>
      <c r="M127" s="324">
        <f t="shared" si="4"/>
        <v>0</v>
      </c>
      <c r="N127" s="324">
        <f>積算代価!I634</f>
        <v>1.98</v>
      </c>
      <c r="O127" s="327">
        <f t="shared" si="5"/>
        <v>0</v>
      </c>
      <c r="P127" s="324">
        <f>積算代価!I632</f>
        <v>1.98</v>
      </c>
      <c r="Q127" s="324">
        <f t="shared" si="6"/>
        <v>0</v>
      </c>
      <c r="S127" s="181">
        <f>IF(C127=1,C120,IF(C127=2,D120,IF(C127=3,E120,IF(C127=4,E120,IF(C127=5,F120,IF(C127=6,G120,IF(C127=7,G120,IF(C127=8,H120,0))))))))</f>
        <v>0</v>
      </c>
      <c r="T127" s="181">
        <f>IF(C127=9,I120,IF(C127=10,J120,IF(C127=11,K120,IF(C120=12,L120,0))))</f>
        <v>0</v>
      </c>
    </row>
    <row r="128" spans="2:20" x14ac:dyDescent="0.15">
      <c r="B128" s="324" t="s">
        <v>1334</v>
      </c>
      <c r="C128" s="326">
        <f>条件入力!O7</f>
        <v>0</v>
      </c>
      <c r="D128" s="335">
        <f>供用日!G9</f>
        <v>0</v>
      </c>
      <c r="E128" s="324">
        <f t="shared" si="1"/>
        <v>0</v>
      </c>
      <c r="F128" s="324">
        <f>積算代価!I613</f>
        <v>9.9</v>
      </c>
      <c r="G128" s="324">
        <f>積算代価!I614</f>
        <v>9.9</v>
      </c>
      <c r="H128" s="324">
        <f>積算代価!I615</f>
        <v>6.75</v>
      </c>
      <c r="I128" s="324">
        <f t="shared" si="2"/>
        <v>0</v>
      </c>
      <c r="J128" s="324">
        <f t="shared" si="3"/>
        <v>0</v>
      </c>
      <c r="K128" s="324">
        <f>積算代価!M614</f>
        <v>0</v>
      </c>
      <c r="L128" s="324">
        <f>積算代価!I630</f>
        <v>14.04</v>
      </c>
      <c r="M128" s="324">
        <f t="shared" si="4"/>
        <v>0</v>
      </c>
      <c r="N128" s="324">
        <f>積算代価!I634</f>
        <v>1.98</v>
      </c>
      <c r="O128" s="327">
        <f t="shared" si="5"/>
        <v>0</v>
      </c>
      <c r="P128" s="324">
        <f>積算代価!I632</f>
        <v>1.98</v>
      </c>
      <c r="Q128" s="324">
        <f t="shared" si="6"/>
        <v>0</v>
      </c>
      <c r="S128" s="181">
        <f>IF(C128=1,C120,IF(C128=2,D120,IF(C128=3,E120,IF(C128=4,E120,IF(C128=5,F120,IF(C128=6,G120,IF(C128=7,G120,IF(C128=8,H120,0))))))))</f>
        <v>0</v>
      </c>
      <c r="T128" s="181">
        <f>IF(C128=9,I120,IF(C128=10,J120,IF(C128=11,K120,IF(C120=12,L120,0))))</f>
        <v>0</v>
      </c>
    </row>
    <row r="129" spans="2:20" x14ac:dyDescent="0.15">
      <c r="B129" s="324" t="s">
        <v>1338</v>
      </c>
      <c r="C129" s="326">
        <f>条件入力!O8</f>
        <v>0</v>
      </c>
      <c r="D129" s="335">
        <f>供用日!G10</f>
        <v>0</v>
      </c>
      <c r="E129" s="324">
        <f t="shared" si="1"/>
        <v>0</v>
      </c>
      <c r="F129" s="324">
        <f>積算代価!I613</f>
        <v>9.9</v>
      </c>
      <c r="G129" s="324">
        <f>積算代価!I614</f>
        <v>9.9</v>
      </c>
      <c r="H129" s="324">
        <f>積算代価!I615</f>
        <v>6.75</v>
      </c>
      <c r="I129" s="324">
        <f t="shared" si="2"/>
        <v>0</v>
      </c>
      <c r="J129" s="324">
        <f t="shared" si="3"/>
        <v>0</v>
      </c>
      <c r="K129" s="324">
        <f>積算代価!M614</f>
        <v>0</v>
      </c>
      <c r="L129" s="324">
        <f>積算代価!I630</f>
        <v>14.04</v>
      </c>
      <c r="M129" s="324">
        <f t="shared" si="4"/>
        <v>0</v>
      </c>
      <c r="N129" s="324">
        <f>積算代価!I634</f>
        <v>1.98</v>
      </c>
      <c r="O129" s="327">
        <f t="shared" si="5"/>
        <v>0</v>
      </c>
      <c r="P129" s="324">
        <f>積算代価!I632</f>
        <v>1.98</v>
      </c>
      <c r="Q129" s="324">
        <f t="shared" si="6"/>
        <v>0</v>
      </c>
      <c r="S129" s="181">
        <f>IF(C129=1,C120,IF(C129=2,D120,IF(C129=3,E120,IF(C129=4,E120,IF(C129=5,F120,IF(C129=6,G120,IF(C129=7,G120,IF(C129=8,H120,0))))))))</f>
        <v>0</v>
      </c>
      <c r="T129" s="181">
        <f>IF(C129=9,I120,IF(C129=10,J120,IF(C129=11,K120,IF(C120=12,L120,0))))</f>
        <v>0</v>
      </c>
    </row>
    <row r="130" spans="2:20" x14ac:dyDescent="0.15">
      <c r="B130" s="324" t="s">
        <v>1342</v>
      </c>
      <c r="C130" s="326">
        <f>条件入力!O9</f>
        <v>0</v>
      </c>
      <c r="D130" s="335">
        <f>供用日!G11</f>
        <v>0</v>
      </c>
      <c r="E130" s="324">
        <f t="shared" si="1"/>
        <v>0</v>
      </c>
      <c r="F130" s="324">
        <f>積算代価!I613</f>
        <v>9.9</v>
      </c>
      <c r="G130" s="324">
        <f>積算代価!I614</f>
        <v>9.9</v>
      </c>
      <c r="H130" s="324">
        <f>積算代価!I615</f>
        <v>6.75</v>
      </c>
      <c r="I130" s="324">
        <f t="shared" si="2"/>
        <v>0</v>
      </c>
      <c r="J130" s="324">
        <f t="shared" si="3"/>
        <v>0</v>
      </c>
      <c r="K130" s="324">
        <f>積算代価!M614</f>
        <v>0</v>
      </c>
      <c r="L130" s="324">
        <f>積算代価!I630</f>
        <v>14.04</v>
      </c>
      <c r="M130" s="324">
        <f t="shared" si="4"/>
        <v>0</v>
      </c>
      <c r="N130" s="324">
        <f>積算代価!I634</f>
        <v>1.98</v>
      </c>
      <c r="O130" s="327">
        <f t="shared" si="5"/>
        <v>0</v>
      </c>
      <c r="P130" s="324">
        <f>積算代価!I632</f>
        <v>1.98</v>
      </c>
      <c r="Q130" s="324">
        <f t="shared" si="6"/>
        <v>0</v>
      </c>
      <c r="S130" s="181">
        <f>IF(C130=1,C120,IF(C130=2,D120,IF(C130=3,E120,IF(C130=4,E120,IF(C130=5,F120,IF(C130=6,G120,IF(C130=7,G120,IF(C130=8,H120,0))))))))</f>
        <v>0</v>
      </c>
      <c r="T130" s="181">
        <f>IF(C130=9,I120,IF(C130=10,J120,IF(C130=11,K120,IF(C120=12,L120,0))))</f>
        <v>0</v>
      </c>
    </row>
    <row r="131" spans="2:20" x14ac:dyDescent="0.15">
      <c r="B131" s="324" t="s">
        <v>1343</v>
      </c>
      <c r="C131" s="326">
        <f>条件入力!O10</f>
        <v>0</v>
      </c>
      <c r="D131" s="335">
        <f>供用日!G12</f>
        <v>0</v>
      </c>
      <c r="E131" s="324">
        <f t="shared" si="1"/>
        <v>0</v>
      </c>
      <c r="F131" s="324">
        <f>積算代価!I613</f>
        <v>9.9</v>
      </c>
      <c r="G131" s="324">
        <f>積算代価!I614</f>
        <v>9.9</v>
      </c>
      <c r="H131" s="324">
        <f>積算代価!I615</f>
        <v>6.75</v>
      </c>
      <c r="I131" s="324">
        <f t="shared" si="2"/>
        <v>0</v>
      </c>
      <c r="J131" s="324">
        <f t="shared" si="3"/>
        <v>0</v>
      </c>
      <c r="K131" s="324">
        <f>積算代価!M614</f>
        <v>0</v>
      </c>
      <c r="L131" s="324">
        <f>積算代価!I630</f>
        <v>14.04</v>
      </c>
      <c r="M131" s="324">
        <f t="shared" si="4"/>
        <v>0</v>
      </c>
      <c r="N131" s="324">
        <f>積算代価!I634</f>
        <v>1.98</v>
      </c>
      <c r="O131" s="327">
        <f t="shared" si="5"/>
        <v>0</v>
      </c>
      <c r="P131" s="324">
        <f>積算代価!I632</f>
        <v>1.98</v>
      </c>
      <c r="Q131" s="324">
        <f t="shared" si="6"/>
        <v>0</v>
      </c>
      <c r="S131" s="181">
        <f>IF(C131=1,C120,IF(C131=2,D120,IF(C131=3,E120,IF(C131=4,E120,IF(C131=5,F120,IF(C131=6,G120,IF(C131=7,G120,IF(C131=8,H120,0))))))))</f>
        <v>0</v>
      </c>
      <c r="T131" s="181">
        <f>IF(C131=9,I120,IF(C131=10,J120,IF(C131=11,K120,IF(C120=12,L120,0))))</f>
        <v>0</v>
      </c>
    </row>
    <row r="132" spans="2:20" x14ac:dyDescent="0.15">
      <c r="B132" s="324" t="s">
        <v>1344</v>
      </c>
      <c r="C132" s="326">
        <f>条件入力!O11</f>
        <v>0</v>
      </c>
      <c r="D132" s="335">
        <f>供用日!G13</f>
        <v>0</v>
      </c>
      <c r="E132" s="324">
        <f t="shared" si="1"/>
        <v>0</v>
      </c>
      <c r="F132" s="324">
        <f>積算代価!I613</f>
        <v>9.9</v>
      </c>
      <c r="G132" s="324">
        <f>積算代価!I614</f>
        <v>9.9</v>
      </c>
      <c r="H132" s="324">
        <f>積算代価!I615</f>
        <v>6.75</v>
      </c>
      <c r="I132" s="324">
        <f t="shared" si="2"/>
        <v>0</v>
      </c>
      <c r="J132" s="324">
        <f t="shared" si="3"/>
        <v>0</v>
      </c>
      <c r="K132" s="324">
        <f>積算代価!M614</f>
        <v>0</v>
      </c>
      <c r="L132" s="324">
        <f>積算代価!I630</f>
        <v>14.04</v>
      </c>
      <c r="M132" s="324">
        <f t="shared" si="4"/>
        <v>0</v>
      </c>
      <c r="N132" s="324">
        <f>積算代価!I634</f>
        <v>1.98</v>
      </c>
      <c r="O132" s="327">
        <f t="shared" si="5"/>
        <v>0</v>
      </c>
      <c r="P132" s="324">
        <f>積算代価!I632</f>
        <v>1.98</v>
      </c>
      <c r="Q132" s="324">
        <f t="shared" si="6"/>
        <v>0</v>
      </c>
      <c r="S132" s="181">
        <f>IF(C132=1,C120,IF(C132=2,D120,IF(C132=3,E120,IF(C132=4,E120,IF(C132=5,F120,IF(C132=6,G120,IF(C132=7,G120,IF(C132=8,H120,0))))))))</f>
        <v>0</v>
      </c>
      <c r="T132" s="181">
        <f>IF(C132=9,I120,IF(C132=10,J120,IF(C132=11,K120,IF(C120=12,L120,0))))</f>
        <v>0</v>
      </c>
    </row>
    <row r="133" spans="2:20" x14ac:dyDescent="0.15">
      <c r="B133" s="324" t="s">
        <v>1345</v>
      </c>
      <c r="C133" s="326">
        <f>条件入力!O12</f>
        <v>0</v>
      </c>
      <c r="D133" s="335">
        <f>供用日!G14</f>
        <v>0</v>
      </c>
      <c r="E133" s="324">
        <f t="shared" si="1"/>
        <v>0</v>
      </c>
      <c r="F133" s="324">
        <f>積算代価!I613</f>
        <v>9.9</v>
      </c>
      <c r="G133" s="324">
        <f>積算代価!I614</f>
        <v>9.9</v>
      </c>
      <c r="H133" s="324">
        <f>積算代価!I615</f>
        <v>6.75</v>
      </c>
      <c r="I133" s="324">
        <f t="shared" si="2"/>
        <v>0</v>
      </c>
      <c r="J133" s="324">
        <f t="shared" si="3"/>
        <v>0</v>
      </c>
      <c r="K133" s="324">
        <f>積算代価!M614</f>
        <v>0</v>
      </c>
      <c r="L133" s="324">
        <f>積算代価!I630</f>
        <v>14.04</v>
      </c>
      <c r="M133" s="324">
        <f t="shared" si="4"/>
        <v>0</v>
      </c>
      <c r="N133" s="324">
        <f>積算代価!I634</f>
        <v>1.98</v>
      </c>
      <c r="O133" s="327">
        <f t="shared" si="5"/>
        <v>0</v>
      </c>
      <c r="P133" s="324">
        <f>積算代価!I632</f>
        <v>1.98</v>
      </c>
      <c r="Q133" s="324">
        <f t="shared" si="6"/>
        <v>0</v>
      </c>
      <c r="S133" s="181">
        <f>IF(C133=1,C120,IF(C133=2,D120,IF(C133=3,E120,IF(C133=4,E120,IF(C133=5,F120,IF(C133=6,G120,IF(C133=7,G120,IF(C133=8,H120,0))))))))</f>
        <v>0</v>
      </c>
      <c r="T133" s="181">
        <f>IF(C133=9,I120,IF(C133=10,J120,IF(C133=11,K120,IF(C120=12,L120,0))))</f>
        <v>0</v>
      </c>
    </row>
    <row r="134" spans="2:20" x14ac:dyDescent="0.15">
      <c r="B134" s="324" t="s">
        <v>1346</v>
      </c>
      <c r="C134" s="326">
        <f>条件入力!O13</f>
        <v>0</v>
      </c>
      <c r="D134" s="335">
        <f>供用日!G15</f>
        <v>0</v>
      </c>
      <c r="E134" s="324">
        <f t="shared" si="1"/>
        <v>0</v>
      </c>
      <c r="F134" s="324">
        <f>積算代価!I613</f>
        <v>9.9</v>
      </c>
      <c r="G134" s="324">
        <f>積算代価!I614</f>
        <v>9.9</v>
      </c>
      <c r="H134" s="324">
        <f>積算代価!I615</f>
        <v>6.75</v>
      </c>
      <c r="I134" s="324">
        <f t="shared" si="2"/>
        <v>0</v>
      </c>
      <c r="J134" s="324">
        <f t="shared" si="3"/>
        <v>0</v>
      </c>
      <c r="K134" s="324">
        <f>積算代価!M614</f>
        <v>0</v>
      </c>
      <c r="L134" s="324">
        <f>積算代価!I630</f>
        <v>14.04</v>
      </c>
      <c r="M134" s="324">
        <f t="shared" si="4"/>
        <v>0</v>
      </c>
      <c r="N134" s="324">
        <f>積算代価!I634</f>
        <v>1.98</v>
      </c>
      <c r="O134" s="327">
        <f t="shared" si="5"/>
        <v>0</v>
      </c>
      <c r="P134" s="324">
        <f>積算代価!I632</f>
        <v>1.98</v>
      </c>
      <c r="Q134" s="324">
        <f t="shared" si="6"/>
        <v>0</v>
      </c>
      <c r="S134" s="181">
        <f>IF(C134=1,C120,IF(C134=2,D120,IF(C134=3,E120,IF(C134=4,E120,IF(C134=5,F120,IF(C134=6,G120,IF(C134=7,G120,IF(C134=8,H120,0))))))))</f>
        <v>0</v>
      </c>
      <c r="T134" s="181">
        <f>IF(C134=9,I120,IF(C134=10,J120,IF(C134=11,K120,IF(C120=12,L120,0))))</f>
        <v>0</v>
      </c>
    </row>
    <row r="135" spans="2:20" x14ac:dyDescent="0.15">
      <c r="B135" s="324" t="s">
        <v>1347</v>
      </c>
      <c r="C135" s="326">
        <f>条件入力!O14</f>
        <v>0</v>
      </c>
      <c r="D135" s="335">
        <f>供用日!G16</f>
        <v>0</v>
      </c>
      <c r="E135" s="324">
        <f t="shared" si="1"/>
        <v>0</v>
      </c>
      <c r="F135" s="324">
        <f>積算代価!I613</f>
        <v>9.9</v>
      </c>
      <c r="G135" s="324">
        <f>積算代価!I614</f>
        <v>9.9</v>
      </c>
      <c r="H135" s="324">
        <f>積算代価!I615</f>
        <v>6.75</v>
      </c>
      <c r="I135" s="324">
        <f t="shared" si="2"/>
        <v>0</v>
      </c>
      <c r="J135" s="324">
        <f t="shared" si="3"/>
        <v>0</v>
      </c>
      <c r="K135" s="324">
        <f>積算代価!M614</f>
        <v>0</v>
      </c>
      <c r="L135" s="324">
        <f>積算代価!I630</f>
        <v>14.04</v>
      </c>
      <c r="M135" s="324">
        <f t="shared" si="4"/>
        <v>0</v>
      </c>
      <c r="N135" s="324">
        <f>積算代価!I634</f>
        <v>1.98</v>
      </c>
      <c r="O135" s="327">
        <f t="shared" si="5"/>
        <v>0</v>
      </c>
      <c r="P135" s="324">
        <f>積算代価!I632</f>
        <v>1.98</v>
      </c>
      <c r="Q135" s="324">
        <f t="shared" si="6"/>
        <v>0</v>
      </c>
      <c r="S135" s="181">
        <f>IF(C135=1,C120,IF(C135=2,D120,IF(C135=3,E120,IF(C135=4,E120,IF(C135=5,F120,IF(C135=6,G120,IF(C135=7,G120,IF(C135=8,H120,0))))))))</f>
        <v>0</v>
      </c>
      <c r="T135" s="181">
        <f>IF(C135=9,I120,IF(C135=10,J120,IF(C135=11,K120,IF(C120=12,L120,0))))</f>
        <v>0</v>
      </c>
    </row>
    <row r="136" spans="2:20" x14ac:dyDescent="0.15">
      <c r="B136" s="324" t="s">
        <v>1348</v>
      </c>
      <c r="C136" s="326">
        <f>条件入力!O15</f>
        <v>0</v>
      </c>
      <c r="D136" s="335">
        <f>供用日!G17</f>
        <v>0</v>
      </c>
      <c r="E136" s="324">
        <f t="shared" si="1"/>
        <v>0</v>
      </c>
      <c r="F136" s="324">
        <f>積算代価!I613</f>
        <v>9.9</v>
      </c>
      <c r="G136" s="324">
        <f>積算代価!I614</f>
        <v>9.9</v>
      </c>
      <c r="H136" s="324">
        <f>積算代価!I615</f>
        <v>6.75</v>
      </c>
      <c r="I136" s="324">
        <f t="shared" si="2"/>
        <v>0</v>
      </c>
      <c r="J136" s="324">
        <f t="shared" si="3"/>
        <v>0</v>
      </c>
      <c r="K136" s="324">
        <f>積算代価!M614</f>
        <v>0</v>
      </c>
      <c r="L136" s="324">
        <f>積算代価!I630</f>
        <v>14.04</v>
      </c>
      <c r="M136" s="324">
        <f t="shared" si="4"/>
        <v>0</v>
      </c>
      <c r="N136" s="324">
        <f>積算代価!I634</f>
        <v>1.98</v>
      </c>
      <c r="O136" s="327">
        <f t="shared" si="5"/>
        <v>0</v>
      </c>
      <c r="P136" s="324">
        <f>積算代価!I632</f>
        <v>1.98</v>
      </c>
      <c r="Q136" s="324">
        <f t="shared" si="6"/>
        <v>0</v>
      </c>
      <c r="S136" s="181">
        <f>IF(C136=1,C120,IF(C136=2,D120,IF(C136=3,E120,IF(C136=4,E120,IF(C136=5,F120,IF(C136=6,G120,IF(C136=7,G120,IF(C136=8,H120,0))))))))</f>
        <v>0</v>
      </c>
      <c r="T136" s="181">
        <f>IF(C136=9,I120,IF(C136=10,J120,IF(C136=11,K120,IF(C120=12,L120,0))))</f>
        <v>0</v>
      </c>
    </row>
    <row r="137" spans="2:20" x14ac:dyDescent="0.15">
      <c r="B137" s="324" t="s">
        <v>1349</v>
      </c>
      <c r="C137" s="326">
        <f>条件入力!O16</f>
        <v>0</v>
      </c>
      <c r="D137" s="335">
        <f>供用日!G18</f>
        <v>0</v>
      </c>
      <c r="E137" s="324">
        <f t="shared" si="1"/>
        <v>0</v>
      </c>
      <c r="F137" s="324">
        <f>積算代価!I613</f>
        <v>9.9</v>
      </c>
      <c r="G137" s="324">
        <f>積算代価!I614</f>
        <v>9.9</v>
      </c>
      <c r="H137" s="324">
        <f>積算代価!I615</f>
        <v>6.75</v>
      </c>
      <c r="I137" s="324">
        <f t="shared" si="2"/>
        <v>0</v>
      </c>
      <c r="J137" s="324">
        <f t="shared" si="3"/>
        <v>0</v>
      </c>
      <c r="K137" s="324">
        <f>積算代価!M614</f>
        <v>0</v>
      </c>
      <c r="L137" s="324">
        <f>積算代価!I630</f>
        <v>14.04</v>
      </c>
      <c r="M137" s="324">
        <f t="shared" si="4"/>
        <v>0</v>
      </c>
      <c r="N137" s="324">
        <f>積算代価!I634</f>
        <v>1.98</v>
      </c>
      <c r="O137" s="327">
        <f t="shared" si="5"/>
        <v>0</v>
      </c>
      <c r="P137" s="324">
        <f>積算代価!I632</f>
        <v>1.98</v>
      </c>
      <c r="Q137" s="324">
        <f t="shared" si="6"/>
        <v>0</v>
      </c>
      <c r="S137" s="181">
        <f>IF(C137=1,C120,IF(C137=2,D120,IF(C137=3,E120,IF(C137=4,E120,IF(C137=5,F120,IF(C137=6,G120,IF(C137=7,G120,IF(C137=8,H120,0))))))))</f>
        <v>0</v>
      </c>
      <c r="T137" s="181">
        <f>IF(C137=9,I120,IF(C137=10,J120,IF(C137=11,K120,IF(C120=12,L120,0))))</f>
        <v>0</v>
      </c>
    </row>
    <row r="138" spans="2:20" ht="14.25" thickBot="1" x14ac:dyDescent="0.2">
      <c r="B138" s="324" t="s">
        <v>1350</v>
      </c>
      <c r="C138" s="326">
        <f>条件入力!O17</f>
        <v>0</v>
      </c>
      <c r="D138" s="335">
        <f>供用日!G19</f>
        <v>0</v>
      </c>
      <c r="E138" s="324">
        <f t="shared" si="1"/>
        <v>0</v>
      </c>
      <c r="F138" s="324">
        <f>積算代価!I613</f>
        <v>9.9</v>
      </c>
      <c r="G138" s="324">
        <f>積算代価!I614</f>
        <v>9.9</v>
      </c>
      <c r="H138" s="324">
        <f>積算代価!I615</f>
        <v>6.75</v>
      </c>
      <c r="I138" s="329">
        <f t="shared" si="2"/>
        <v>0</v>
      </c>
      <c r="J138" s="329">
        <f t="shared" si="3"/>
        <v>0</v>
      </c>
      <c r="K138" s="324">
        <f>積算代価!M614</f>
        <v>0</v>
      </c>
      <c r="L138" s="324">
        <f>積算代価!I630</f>
        <v>14.04</v>
      </c>
      <c r="M138" s="324">
        <f t="shared" si="4"/>
        <v>0</v>
      </c>
      <c r="N138" s="329">
        <f>積算代価!I634</f>
        <v>1.98</v>
      </c>
      <c r="O138" s="327">
        <f t="shared" si="5"/>
        <v>0</v>
      </c>
      <c r="P138" s="324">
        <f>積算代価!I632</f>
        <v>1.98</v>
      </c>
      <c r="Q138" s="324">
        <f t="shared" si="6"/>
        <v>0</v>
      </c>
      <c r="S138" s="181">
        <f>IF(C138=1,C120,IF(C138=2,D120,IF(C138=3,E120,IF(C138=4,E120,IF(C138=5,F120,IF(C138=6,G120,IF(C138=7,G120,IF(C138=8,H120,0))))))))</f>
        <v>0</v>
      </c>
      <c r="T138" s="181">
        <f>IF(C138=9,I120,IF(C138=10,J120,IF(C138=11,K120,IF(C120=12,L120,0))))</f>
        <v>0</v>
      </c>
    </row>
    <row r="139" spans="2:20" ht="15" thickTop="1" thickBot="1" x14ac:dyDescent="0.2">
      <c r="B139" s="324"/>
      <c r="C139" s="324"/>
      <c r="D139" s="335"/>
      <c r="E139" s="324"/>
      <c r="F139" s="327"/>
      <c r="G139" s="327"/>
      <c r="H139" s="327"/>
      <c r="I139" s="334">
        <f>SUM(I124:I138)</f>
        <v>623.70000000000005</v>
      </c>
      <c r="J139" s="334">
        <f>SUM(J124:J138)</f>
        <v>623.70000000000005</v>
      </c>
      <c r="K139" s="351"/>
      <c r="L139" s="327"/>
      <c r="M139" s="334">
        <f>SUM(M124:M138)</f>
        <v>884.52</v>
      </c>
      <c r="N139" s="352"/>
      <c r="O139" s="353">
        <f>SUM(O124:O138)</f>
        <v>124.74</v>
      </c>
      <c r="P139" s="327"/>
      <c r="Q139" s="334">
        <f>SUM(Q124:Q138)</f>
        <v>124.74</v>
      </c>
      <c r="S139" s="324">
        <f>IF(Q139&lt;9,AG139,AH139)</f>
        <v>0</v>
      </c>
    </row>
    <row r="140" spans="2:20" ht="14.25" thickTop="1" x14ac:dyDescent="0.15"/>
    <row r="142" spans="2:20" x14ac:dyDescent="0.15">
      <c r="B142" s="181" t="s">
        <v>1381</v>
      </c>
    </row>
    <row r="143" spans="2:20" x14ac:dyDescent="0.15">
      <c r="B143" s="324"/>
      <c r="C143" s="324" t="s">
        <v>683</v>
      </c>
      <c r="D143" s="324" t="s">
        <v>185</v>
      </c>
      <c r="E143" s="324" t="s">
        <v>1370</v>
      </c>
      <c r="F143" s="324" t="s">
        <v>1382</v>
      </c>
      <c r="G143" s="324" t="s">
        <v>1383</v>
      </c>
    </row>
    <row r="144" spans="2:20" x14ac:dyDescent="0.15">
      <c r="B144" s="324" t="s">
        <v>1321</v>
      </c>
      <c r="C144" s="326">
        <f>C124</f>
        <v>2</v>
      </c>
      <c r="D144" s="335">
        <f>D124</f>
        <v>14</v>
      </c>
      <c r="E144" s="324">
        <f>IF(C144&lt;9,S144,T144)</f>
        <v>4.3</v>
      </c>
      <c r="F144" s="324">
        <f>積算代価!I597</f>
        <v>4</v>
      </c>
      <c r="G144" s="324">
        <f>D144*E144*F144</f>
        <v>240.79999999999998</v>
      </c>
      <c r="S144" s="181">
        <f>IF(C144=1,C107,IF(C144=2,D107,IF(C144=3,E107,IF(C144=4,E107,IF(C144=5,F107,IF(C144=6,G107,IF(C144=7,G107,IF(C144=8,H107,0))))))))</f>
        <v>4.3</v>
      </c>
      <c r="T144" s="181">
        <f>IF(C144=9,I107,IF(C144=10,J107,IF(C144=11,K107,IF(C144=12,L107,0))))</f>
        <v>0</v>
      </c>
    </row>
    <row r="145" spans="2:20" x14ac:dyDescent="0.15">
      <c r="B145" s="324" t="s">
        <v>1322</v>
      </c>
      <c r="C145" s="326">
        <f t="shared" ref="C145:D158" si="7">C125</f>
        <v>0</v>
      </c>
      <c r="D145" s="335">
        <f t="shared" si="7"/>
        <v>0</v>
      </c>
      <c r="E145" s="324">
        <f t="shared" ref="E145:E158" si="8">IF(C145&lt;9,S145,T145)</f>
        <v>0</v>
      </c>
      <c r="F145" s="324">
        <f>積算代価!I597</f>
        <v>4</v>
      </c>
      <c r="G145" s="324">
        <f t="shared" ref="G145:G158" si="9">D145*E145*F145</f>
        <v>0</v>
      </c>
      <c r="S145" s="181">
        <f>IF(C145=1,C107,IF(C145=2,D107,IF(C145=3,E107,IF(C145=4,E107,IF(C145=5,F107,IF(C145=6,G107,IF(C145=7,G107,IF(C145=8,H107,0))))))))</f>
        <v>0</v>
      </c>
      <c r="T145" s="181">
        <f>IF(C145=9,I107,IF(C145=10,J107,IF(C145=11,K107,IF(C145=12,L107,0))))</f>
        <v>0</v>
      </c>
    </row>
    <row r="146" spans="2:20" x14ac:dyDescent="0.15">
      <c r="B146" s="324" t="s">
        <v>1326</v>
      </c>
      <c r="C146" s="326">
        <f t="shared" si="7"/>
        <v>0</v>
      </c>
      <c r="D146" s="335">
        <f t="shared" si="7"/>
        <v>0</v>
      </c>
      <c r="E146" s="324">
        <f t="shared" si="8"/>
        <v>0</v>
      </c>
      <c r="F146" s="324">
        <f>積算代価!I597</f>
        <v>4</v>
      </c>
      <c r="G146" s="324">
        <f t="shared" si="9"/>
        <v>0</v>
      </c>
      <c r="S146" s="181">
        <f>IF(C146=1,C107,IF(C146=2,D107,IF(C146=3,E107,IF(C146=4,E107,IF(C146=5,F107,IF(C146=6,G107,IF(C146=7,G107,IF(C146=8,H107,0))))))))</f>
        <v>0</v>
      </c>
      <c r="T146" s="181">
        <f>IF(C146=9,I107,IF(C146=10,J107,IF(C146=11,K107,IF(C146=12,L107,0))))</f>
        <v>0</v>
      </c>
    </row>
    <row r="147" spans="2:20" x14ac:dyDescent="0.15">
      <c r="B147" s="324" t="s">
        <v>1330</v>
      </c>
      <c r="C147" s="326">
        <f t="shared" si="7"/>
        <v>0</v>
      </c>
      <c r="D147" s="335">
        <f t="shared" si="7"/>
        <v>0</v>
      </c>
      <c r="E147" s="324">
        <f t="shared" si="8"/>
        <v>0</v>
      </c>
      <c r="F147" s="324">
        <f>積算代価!I597</f>
        <v>4</v>
      </c>
      <c r="G147" s="324">
        <f t="shared" si="9"/>
        <v>0</v>
      </c>
      <c r="S147" s="181">
        <f>IF(C147=1,C107,IF(C147=2,D107,IF(C147=3,E107,IF(C147=4,E107,IF(C147=5,F107,IF(C147=6,G107,IF(C147=7,G107,IF(C147=8,H107,0))))))))</f>
        <v>0</v>
      </c>
      <c r="T147" s="181">
        <f>IF(C147=9,I107,IF(C147=10,J107,IF(C147=11,K107,IF(C147=12,L107,0))))</f>
        <v>0</v>
      </c>
    </row>
    <row r="148" spans="2:20" x14ac:dyDescent="0.15">
      <c r="B148" s="324" t="s">
        <v>1334</v>
      </c>
      <c r="C148" s="326">
        <f t="shared" si="7"/>
        <v>0</v>
      </c>
      <c r="D148" s="335">
        <f t="shared" si="7"/>
        <v>0</v>
      </c>
      <c r="E148" s="324">
        <f t="shared" si="8"/>
        <v>0</v>
      </c>
      <c r="F148" s="324">
        <f>積算代価!I597</f>
        <v>4</v>
      </c>
      <c r="G148" s="324">
        <f t="shared" si="9"/>
        <v>0</v>
      </c>
      <c r="S148" s="181">
        <f>IF(C148=1,C107,IF(C148=2,D107,IF(C148=3,E107,IF(C148=4,E107,IF(C148=5,F107,IF(C148=6,G107,IF(C148=7,G107,IF(C148=8,H107,0))))))))</f>
        <v>0</v>
      </c>
      <c r="T148" s="181">
        <f>IF(C148=9,I107,IF(C148=10,J107,IF(C148=11,K107,IF(C148=12,L71,0))))</f>
        <v>0</v>
      </c>
    </row>
    <row r="149" spans="2:20" x14ac:dyDescent="0.15">
      <c r="B149" s="324" t="s">
        <v>1338</v>
      </c>
      <c r="C149" s="326">
        <f t="shared" si="7"/>
        <v>0</v>
      </c>
      <c r="D149" s="335">
        <f t="shared" si="7"/>
        <v>0</v>
      </c>
      <c r="E149" s="324">
        <f t="shared" si="8"/>
        <v>0</v>
      </c>
      <c r="F149" s="324">
        <f>積算代価!I597</f>
        <v>4</v>
      </c>
      <c r="G149" s="324">
        <f t="shared" si="9"/>
        <v>0</v>
      </c>
      <c r="S149" s="181">
        <f>IF(C149=1,C107,IF(C149=2,D107,IF(C149=3,E107,IF(C149=4,E107,IF(C149=5,F107,IF(C149=6,G107,IF(C149=7,G107,IF(C149=8,H107,0))))))))</f>
        <v>0</v>
      </c>
      <c r="T149" s="181">
        <f>IF(C149=9,I107,IF(C149=10,J107,IF(C149=11,K107,IF(C149=12,L107,0))))</f>
        <v>0</v>
      </c>
    </row>
    <row r="150" spans="2:20" x14ac:dyDescent="0.15">
      <c r="B150" s="324" t="s">
        <v>1342</v>
      </c>
      <c r="C150" s="326">
        <f t="shared" si="7"/>
        <v>0</v>
      </c>
      <c r="D150" s="335">
        <f t="shared" si="7"/>
        <v>0</v>
      </c>
      <c r="E150" s="324">
        <f t="shared" si="8"/>
        <v>0</v>
      </c>
      <c r="F150" s="324">
        <f>積算代価!I597</f>
        <v>4</v>
      </c>
      <c r="G150" s="324">
        <f t="shared" si="9"/>
        <v>0</v>
      </c>
      <c r="S150" s="181">
        <f>IF(C150=1,C107,IF(C150=2,D107,IF(C150=3,E107,IF(C150=4,E107,IF(C150=5,F107,IF(C150=6,G107,IF(C150=7,G107,IF(C150=8,H107,0))))))))</f>
        <v>0</v>
      </c>
      <c r="T150" s="181">
        <f>IF(C150=9,I107,IF(C150=10,J107,IF(C150=11,K107,IF(C150=12,L107,0))))</f>
        <v>0</v>
      </c>
    </row>
    <row r="151" spans="2:20" x14ac:dyDescent="0.15">
      <c r="B151" s="324" t="s">
        <v>1343</v>
      </c>
      <c r="C151" s="326">
        <f t="shared" si="7"/>
        <v>0</v>
      </c>
      <c r="D151" s="335">
        <f t="shared" si="7"/>
        <v>0</v>
      </c>
      <c r="E151" s="324">
        <f t="shared" si="8"/>
        <v>0</v>
      </c>
      <c r="F151" s="324">
        <f>積算代価!I597</f>
        <v>4</v>
      </c>
      <c r="G151" s="324">
        <f t="shared" si="9"/>
        <v>0</v>
      </c>
      <c r="I151" s="324">
        <f>IF(G151&lt;9,W151,X151)</f>
        <v>0</v>
      </c>
      <c r="S151" s="181">
        <f>IF(C151=1,C107,IF(C151=2,D107,IF(C151=3,E107,IF(C151=4,E107,IF(C151=5,F107,IF(C151=6,G107,IF(C151=7,G107,IF(C151=8,H107,0))))))))</f>
        <v>0</v>
      </c>
      <c r="T151" s="181">
        <f>IF(C151=9,I107,IF(C151=10,J107,IF(C151=11,K107,IF(C151=12,L107,0))))</f>
        <v>0</v>
      </c>
    </row>
    <row r="152" spans="2:20" x14ac:dyDescent="0.15">
      <c r="B152" s="324" t="s">
        <v>1344</v>
      </c>
      <c r="C152" s="326">
        <f t="shared" si="7"/>
        <v>0</v>
      </c>
      <c r="D152" s="335">
        <f t="shared" si="7"/>
        <v>0</v>
      </c>
      <c r="E152" s="324">
        <f t="shared" si="8"/>
        <v>0</v>
      </c>
      <c r="F152" s="324">
        <f>積算代価!I597</f>
        <v>4</v>
      </c>
      <c r="G152" s="324">
        <f t="shared" si="9"/>
        <v>0</v>
      </c>
      <c r="S152" s="181">
        <f>IF(C152=1,C107,IF(C152=2,D107,IF(C152=3,E107,IF(C152=4,E107,IF(C152=5,F107,IF(C152=6,G107,IF(C152=7,G107,IF(C152=8,H107,0))))))))</f>
        <v>0</v>
      </c>
      <c r="T152" s="181">
        <f>IF(C152=9,I107,IF(C152=10,J107,IF(C152=11,K107,IF(C152=12,L107,0))))</f>
        <v>0</v>
      </c>
    </row>
    <row r="153" spans="2:20" x14ac:dyDescent="0.15">
      <c r="B153" s="324" t="s">
        <v>1345</v>
      </c>
      <c r="C153" s="326">
        <f t="shared" si="7"/>
        <v>0</v>
      </c>
      <c r="D153" s="335">
        <f t="shared" si="7"/>
        <v>0</v>
      </c>
      <c r="E153" s="324">
        <f t="shared" si="8"/>
        <v>0</v>
      </c>
      <c r="F153" s="324">
        <f>積算代価!I597</f>
        <v>4</v>
      </c>
      <c r="G153" s="324">
        <f t="shared" si="9"/>
        <v>0</v>
      </c>
      <c r="S153" s="181">
        <f>IF(C153=1,C107,IF(C153=2,D107,IF(C153=3,E107,IF(C153=4,E107,IF(C153=5,F107,IF(C153=6,G107,IF(C153=7,G107,IF(C153=8,H107,0))))))))</f>
        <v>0</v>
      </c>
      <c r="T153" s="181">
        <f>IF(C153=9,I107,IF(C153=10,J107,IF(C153=11,K107,IF(C153=12,L107,0))))</f>
        <v>0</v>
      </c>
    </row>
    <row r="154" spans="2:20" x14ac:dyDescent="0.15">
      <c r="B154" s="324" t="s">
        <v>1346</v>
      </c>
      <c r="C154" s="326">
        <f t="shared" si="7"/>
        <v>0</v>
      </c>
      <c r="D154" s="335">
        <f t="shared" si="7"/>
        <v>0</v>
      </c>
      <c r="E154" s="324">
        <f t="shared" si="8"/>
        <v>0</v>
      </c>
      <c r="F154" s="324">
        <f>積算代価!I597</f>
        <v>4</v>
      </c>
      <c r="G154" s="324">
        <f t="shared" si="9"/>
        <v>0</v>
      </c>
      <c r="S154" s="181">
        <f>IF(C154=1,C107,IF(C154=2,D107,IF(C154=3,E107,IF(C154=4,E107,IF(C154=5,F107,IF(C154=6,G107,IF(C154=7,G107,IF(C154=8,H107,0))))))))</f>
        <v>0</v>
      </c>
      <c r="T154" s="181">
        <f>IF(C154=9,I107,IF(C154=10,J107,IF(C154=11,K107,IF(C154=12,L107,0))))</f>
        <v>0</v>
      </c>
    </row>
    <row r="155" spans="2:20" x14ac:dyDescent="0.15">
      <c r="B155" s="324" t="s">
        <v>1347</v>
      </c>
      <c r="C155" s="326">
        <f t="shared" si="7"/>
        <v>0</v>
      </c>
      <c r="D155" s="335">
        <f t="shared" si="7"/>
        <v>0</v>
      </c>
      <c r="E155" s="324">
        <f t="shared" si="8"/>
        <v>0</v>
      </c>
      <c r="F155" s="324">
        <f>積算代価!I597</f>
        <v>4</v>
      </c>
      <c r="G155" s="324">
        <f t="shared" si="9"/>
        <v>0</v>
      </c>
      <c r="S155" s="181">
        <f>IF(C155=1,C107,IF(C155=2,D107,IF(C155=3,E107,IF(C155=4,E107,IF(C155=5,F107,IF(C155=6,G107,IF(C155=7,G107,IF(C155=8,H107,0))))))))</f>
        <v>0</v>
      </c>
      <c r="T155" s="181">
        <f>IF(C155=9,I107,IF(C155=10,J107,IF(C155=11,K107,IF(C155=12,L107,0))))</f>
        <v>0</v>
      </c>
    </row>
    <row r="156" spans="2:20" x14ac:dyDescent="0.15">
      <c r="B156" s="324" t="s">
        <v>1348</v>
      </c>
      <c r="C156" s="326">
        <f t="shared" si="7"/>
        <v>0</v>
      </c>
      <c r="D156" s="335">
        <f t="shared" si="7"/>
        <v>0</v>
      </c>
      <c r="E156" s="324">
        <f t="shared" si="8"/>
        <v>0</v>
      </c>
      <c r="F156" s="324">
        <f>積算代価!I597</f>
        <v>4</v>
      </c>
      <c r="G156" s="324">
        <f t="shared" si="9"/>
        <v>0</v>
      </c>
      <c r="S156" s="181">
        <f>IF(C156=1,C107,IF(C156=2,D107,IF(C156=3,E107,IF(C156=4,E107,IF(C156=5,F107,IF(C156=6,G107,IF(C156=7,G107,IF(C156=8,H107,0))))))))</f>
        <v>0</v>
      </c>
      <c r="T156" s="181">
        <f>IF(C156=9,I107,IF(C156=10,J107,IF(C156=11,K107,IF(C156=12,L107,0))))</f>
        <v>0</v>
      </c>
    </row>
    <row r="157" spans="2:20" x14ac:dyDescent="0.15">
      <c r="B157" s="324" t="s">
        <v>1349</v>
      </c>
      <c r="C157" s="326">
        <f t="shared" si="7"/>
        <v>0</v>
      </c>
      <c r="D157" s="335">
        <f t="shared" si="7"/>
        <v>0</v>
      </c>
      <c r="E157" s="324">
        <f t="shared" si="8"/>
        <v>0</v>
      </c>
      <c r="F157" s="324">
        <f>積算代価!I597</f>
        <v>4</v>
      </c>
      <c r="G157" s="324">
        <f t="shared" si="9"/>
        <v>0</v>
      </c>
      <c r="S157" s="181">
        <f>IF(C157=1,C107,IF(C157=2,D107,IF(C157=3,E107,IF(C157=4,E107,IF(C157=5,F107,IF(C157=6,G107,IF(C157=7,G107,IF(C157=8,H107,0))))))))</f>
        <v>0</v>
      </c>
      <c r="T157" s="181">
        <f>IF(C157=9,I107,IF(C157=10,J107,IF(C157=11,K107,IF(C157=12,L107,0))))</f>
        <v>0</v>
      </c>
    </row>
    <row r="158" spans="2:20" ht="14.25" thickBot="1" x14ac:dyDescent="0.2">
      <c r="B158" s="324" t="s">
        <v>1350</v>
      </c>
      <c r="C158" s="326">
        <f t="shared" si="7"/>
        <v>0</v>
      </c>
      <c r="D158" s="335">
        <f t="shared" si="7"/>
        <v>0</v>
      </c>
      <c r="E158" s="324">
        <f t="shared" si="8"/>
        <v>0</v>
      </c>
      <c r="F158" s="324">
        <f>積算代価!I597</f>
        <v>4</v>
      </c>
      <c r="G158" s="329">
        <f t="shared" si="9"/>
        <v>0</v>
      </c>
      <c r="S158" s="181">
        <f>IF(C158=1,C107,IF(C158=2,D107,IF(C158=3,E107,IF(C158=4,E107,IF(C158=5,F107,IF(C158=6,G107,IF(C158=7,G107,IF(C158=8,H107,0))))))))</f>
        <v>0</v>
      </c>
      <c r="T158" s="181">
        <f>IF(C158=9,I107,IF(C158=10,J107,IF(C158=11,K107,IF(C158=12,L107,0))))</f>
        <v>0</v>
      </c>
    </row>
    <row r="159" spans="2:20" ht="15" thickTop="1" thickBot="1" x14ac:dyDescent="0.2">
      <c r="B159" s="324"/>
      <c r="C159" s="324"/>
      <c r="D159" s="335">
        <f>SUM(D144:D158)</f>
        <v>14</v>
      </c>
      <c r="E159" s="324"/>
      <c r="F159" s="327"/>
      <c r="G159" s="334">
        <f>SUM(G144:G158)</f>
        <v>240.79999999999998</v>
      </c>
    </row>
    <row r="160" spans="2:20" ht="14.25" thickTop="1" x14ac:dyDescent="0.15"/>
    <row r="162" spans="2:20" x14ac:dyDescent="0.15">
      <c r="B162" s="181" t="s">
        <v>1384</v>
      </c>
    </row>
    <row r="163" spans="2:20" x14ac:dyDescent="0.15">
      <c r="B163" s="324"/>
      <c r="C163" s="324" t="s">
        <v>683</v>
      </c>
      <c r="D163" s="324" t="s">
        <v>185</v>
      </c>
      <c r="E163" s="324" t="s">
        <v>1370</v>
      </c>
      <c r="F163" s="324" t="s">
        <v>1385</v>
      </c>
      <c r="G163" s="324" t="s">
        <v>1386</v>
      </c>
      <c r="H163" s="324" t="s">
        <v>1387</v>
      </c>
      <c r="I163" s="324" t="s">
        <v>1388</v>
      </c>
      <c r="J163" s="324" t="s">
        <v>1389</v>
      </c>
      <c r="K163" s="324" t="s">
        <v>1390</v>
      </c>
    </row>
    <row r="164" spans="2:20" x14ac:dyDescent="0.15">
      <c r="B164" s="324" t="s">
        <v>1321</v>
      </c>
      <c r="C164" s="326">
        <f>C144</f>
        <v>2</v>
      </c>
      <c r="D164" s="335">
        <f>D144</f>
        <v>14</v>
      </c>
      <c r="E164" s="324">
        <f>IF(C164&lt;9,S164,T164)</f>
        <v>4</v>
      </c>
      <c r="F164" s="324">
        <f>積算代価!I596</f>
        <v>2.9</v>
      </c>
      <c r="G164" s="324">
        <f>積算代価!I599</f>
        <v>2.2999999999999998</v>
      </c>
      <c r="H164" s="324">
        <f>積算代価!I600</f>
        <v>1.2</v>
      </c>
      <c r="I164" s="324">
        <f>D164*E164*F164</f>
        <v>162.4</v>
      </c>
      <c r="J164" s="324">
        <f>D164*E164*G164</f>
        <v>128.79999999999998</v>
      </c>
      <c r="K164" s="324">
        <f>D164*E164*H164</f>
        <v>67.2</v>
      </c>
      <c r="S164" s="181">
        <f>IF(C164=1,C95,IF(C164=2,D95,IF(C164=3,E95,IF(C164=4,E95,IF(C164=5,F95,IF(C164=6,G95,IF(C164=7,G95,IF(C164=8,H95,0))))))))</f>
        <v>4</v>
      </c>
      <c r="T164" s="181">
        <f>IF(C164=9,I95,IF(C164=10,J95,IF(C164=11,K95,IF(C164=12,L95,0))))</f>
        <v>0</v>
      </c>
    </row>
    <row r="165" spans="2:20" x14ac:dyDescent="0.15">
      <c r="B165" s="324" t="s">
        <v>1322</v>
      </c>
      <c r="C165" s="326">
        <f t="shared" ref="C165:D178" si="10">C145</f>
        <v>0</v>
      </c>
      <c r="D165" s="335">
        <f t="shared" si="10"/>
        <v>0</v>
      </c>
      <c r="E165" s="324">
        <f t="shared" ref="E165:E178" si="11">IF(C165&lt;9,S165,T165)</f>
        <v>0</v>
      </c>
      <c r="F165" s="324">
        <f>積算代価!I596</f>
        <v>2.9</v>
      </c>
      <c r="G165" s="324">
        <f>積算代価!I599</f>
        <v>2.2999999999999998</v>
      </c>
      <c r="H165" s="324">
        <f>積算代価!I600</f>
        <v>1.2</v>
      </c>
      <c r="I165" s="324">
        <f t="shared" ref="I165:I178" si="12">D165*E165*F165</f>
        <v>0</v>
      </c>
      <c r="J165" s="324">
        <f t="shared" ref="J165:J178" si="13">D165*E165*G165</f>
        <v>0</v>
      </c>
      <c r="K165" s="324">
        <f t="shared" ref="K165:K178" si="14">D165*E165*H165</f>
        <v>0</v>
      </c>
      <c r="S165" s="181">
        <f>IF(C165=1,C95,IF(C165=2,D95,IF(C165=3,E95,IF(C165=4,E95,IF(C165=5,F95,IF(C165=6,G95,IF(C165=7,G95,IF(C165=8,H95,0))))))))</f>
        <v>0</v>
      </c>
      <c r="T165" s="181">
        <f>IF(C165=9,I95,IF(C165=10,J95,IF(C165=11,K95,IF(C165=12,L95,0))))</f>
        <v>0</v>
      </c>
    </row>
    <row r="166" spans="2:20" x14ac:dyDescent="0.15">
      <c r="B166" s="324" t="s">
        <v>1326</v>
      </c>
      <c r="C166" s="326">
        <f t="shared" si="10"/>
        <v>0</v>
      </c>
      <c r="D166" s="335">
        <f t="shared" si="10"/>
        <v>0</v>
      </c>
      <c r="E166" s="324">
        <f t="shared" si="11"/>
        <v>0</v>
      </c>
      <c r="F166" s="324">
        <f>積算代価!I596</f>
        <v>2.9</v>
      </c>
      <c r="G166" s="324">
        <f>積算代価!I599</f>
        <v>2.2999999999999998</v>
      </c>
      <c r="H166" s="324">
        <f>積算代価!I600</f>
        <v>1.2</v>
      </c>
      <c r="I166" s="324">
        <f t="shared" si="12"/>
        <v>0</v>
      </c>
      <c r="J166" s="324">
        <f t="shared" si="13"/>
        <v>0</v>
      </c>
      <c r="K166" s="324">
        <f t="shared" si="14"/>
        <v>0</v>
      </c>
      <c r="S166" s="181">
        <f>IF(C166=1,C95,IF(C166=2,D95,IF(C166=3,E95,IF(C166=4,E95,IF(C166=5,F95,IF(C166=6,G95,IF(C166=7,G95,IF(C166=8,H95,0))))))))</f>
        <v>0</v>
      </c>
      <c r="T166" s="181">
        <f>IF(C166=9,I95,IF(C166=10,J95,IF(C166=11,K95,IF(C166=12,L95,0))))</f>
        <v>0</v>
      </c>
    </row>
    <row r="167" spans="2:20" x14ac:dyDescent="0.15">
      <c r="B167" s="324" t="s">
        <v>1330</v>
      </c>
      <c r="C167" s="326">
        <f t="shared" si="10"/>
        <v>0</v>
      </c>
      <c r="D167" s="335">
        <f t="shared" si="10"/>
        <v>0</v>
      </c>
      <c r="E167" s="324">
        <f t="shared" si="11"/>
        <v>0</v>
      </c>
      <c r="F167" s="324">
        <f>積算代価!I596</f>
        <v>2.9</v>
      </c>
      <c r="G167" s="324">
        <f>積算代価!I599</f>
        <v>2.2999999999999998</v>
      </c>
      <c r="H167" s="324">
        <f>積算代価!I600</f>
        <v>1.2</v>
      </c>
      <c r="I167" s="324">
        <f t="shared" si="12"/>
        <v>0</v>
      </c>
      <c r="J167" s="324">
        <f t="shared" si="13"/>
        <v>0</v>
      </c>
      <c r="K167" s="324">
        <f t="shared" si="14"/>
        <v>0</v>
      </c>
      <c r="S167" s="181">
        <f>IF(C167=1,C95,IF(C167=2,D95,IF(C167=3,E95,IF(C167=4,E95,IF(C167=5,F95,IF(C167=6,G95,IF(C167=7,G95,IF(C167=8,H95,0))))))))</f>
        <v>0</v>
      </c>
      <c r="T167" s="181">
        <f>IF(C167=9,I95,IF(C167=10,J95,IF(C167=11,K95,IF(C167=12,L95,0))))</f>
        <v>0</v>
      </c>
    </row>
    <row r="168" spans="2:20" x14ac:dyDescent="0.15">
      <c r="B168" s="324" t="s">
        <v>1334</v>
      </c>
      <c r="C168" s="326">
        <f t="shared" si="10"/>
        <v>0</v>
      </c>
      <c r="D168" s="335">
        <f t="shared" si="10"/>
        <v>0</v>
      </c>
      <c r="E168" s="324">
        <f t="shared" si="11"/>
        <v>0</v>
      </c>
      <c r="F168" s="324">
        <f>積算代価!I596</f>
        <v>2.9</v>
      </c>
      <c r="G168" s="324">
        <f>積算代価!I599</f>
        <v>2.2999999999999998</v>
      </c>
      <c r="H168" s="324">
        <f>積算代価!I600</f>
        <v>1.2</v>
      </c>
      <c r="I168" s="324">
        <f t="shared" si="12"/>
        <v>0</v>
      </c>
      <c r="J168" s="324">
        <f t="shared" si="13"/>
        <v>0</v>
      </c>
      <c r="K168" s="324">
        <f t="shared" si="14"/>
        <v>0</v>
      </c>
      <c r="S168" s="181">
        <f>IF(C168=1,C95,IF(C168=2,D95,IF(C168=3,E95,IF(C168=4,E95,IF(C168=5,F95,IF(C168=6,G95,IF(C168=7,G95,IF(C168=8,H95,0))))))))</f>
        <v>0</v>
      </c>
      <c r="T168" s="181">
        <f>IF(C168=9,I95,IF(C168=10,J95,IF(C168=11,K95,IF(C168=12,L95,0))))</f>
        <v>0</v>
      </c>
    </row>
    <row r="169" spans="2:20" x14ac:dyDescent="0.15">
      <c r="B169" s="324" t="s">
        <v>1338</v>
      </c>
      <c r="C169" s="326">
        <f t="shared" si="10"/>
        <v>0</v>
      </c>
      <c r="D169" s="335">
        <f t="shared" si="10"/>
        <v>0</v>
      </c>
      <c r="E169" s="324">
        <f t="shared" si="11"/>
        <v>0</v>
      </c>
      <c r="F169" s="324">
        <f>積算代価!I596</f>
        <v>2.9</v>
      </c>
      <c r="G169" s="324">
        <f>積算代価!I599</f>
        <v>2.2999999999999998</v>
      </c>
      <c r="H169" s="324">
        <f>積算代価!I600</f>
        <v>1.2</v>
      </c>
      <c r="I169" s="324">
        <f t="shared" si="12"/>
        <v>0</v>
      </c>
      <c r="J169" s="324">
        <f t="shared" si="13"/>
        <v>0</v>
      </c>
      <c r="K169" s="324">
        <f t="shared" si="14"/>
        <v>0</v>
      </c>
      <c r="S169" s="181">
        <f>IF(C169=1,C95,IF(C169=2,D95,IF(C169=3,E95,IF(C169=4,E95,IF(C169=5,F95,IF(C169=6,G95,IF(C169=7,G95,IF(C169=8,H95,0))))))))</f>
        <v>0</v>
      </c>
      <c r="T169" s="181">
        <f>IF(C169=9,I95,IF(C169=10,J95,IF(C169=11,K95,IF(C169=12,L95,0))))</f>
        <v>0</v>
      </c>
    </row>
    <row r="170" spans="2:20" x14ac:dyDescent="0.15">
      <c r="B170" s="324" t="s">
        <v>1342</v>
      </c>
      <c r="C170" s="326">
        <f t="shared" si="10"/>
        <v>0</v>
      </c>
      <c r="D170" s="335">
        <f t="shared" si="10"/>
        <v>0</v>
      </c>
      <c r="E170" s="324">
        <f t="shared" si="11"/>
        <v>0</v>
      </c>
      <c r="F170" s="324">
        <f>積算代価!I596</f>
        <v>2.9</v>
      </c>
      <c r="G170" s="324">
        <f>積算代価!I599</f>
        <v>2.2999999999999998</v>
      </c>
      <c r="H170" s="324">
        <f>積算代価!I600</f>
        <v>1.2</v>
      </c>
      <c r="I170" s="324">
        <f t="shared" si="12"/>
        <v>0</v>
      </c>
      <c r="J170" s="324">
        <f t="shared" si="13"/>
        <v>0</v>
      </c>
      <c r="K170" s="324">
        <f t="shared" si="14"/>
        <v>0</v>
      </c>
      <c r="S170" s="181">
        <f>IF(C170=1,C95,IF(C170=2,D95,IF(C170=3,E95,IF(C170=4,E95,IF(C170=5,F95,IF(C170=6,G95,IF(C170=7,G95,IF(C170=8,H95,0))))))))</f>
        <v>0</v>
      </c>
      <c r="T170" s="181">
        <f>IF(C170=9,I95,IF(C170=10,J95,IF(C170=11,K95,IF(C170=12,L95,0))))</f>
        <v>0</v>
      </c>
    </row>
    <row r="171" spans="2:20" x14ac:dyDescent="0.15">
      <c r="B171" s="324" t="s">
        <v>1343</v>
      </c>
      <c r="C171" s="326">
        <f t="shared" si="10"/>
        <v>0</v>
      </c>
      <c r="D171" s="335">
        <f t="shared" si="10"/>
        <v>0</v>
      </c>
      <c r="E171" s="324">
        <f t="shared" si="11"/>
        <v>0</v>
      </c>
      <c r="F171" s="324">
        <f>積算代価!I596</f>
        <v>2.9</v>
      </c>
      <c r="G171" s="324">
        <f>積算代価!I599</f>
        <v>2.2999999999999998</v>
      </c>
      <c r="H171" s="324">
        <f>積算代価!I600</f>
        <v>1.2</v>
      </c>
      <c r="I171" s="324">
        <f t="shared" si="12"/>
        <v>0</v>
      </c>
      <c r="J171" s="324">
        <f t="shared" si="13"/>
        <v>0</v>
      </c>
      <c r="K171" s="324">
        <f t="shared" si="14"/>
        <v>0</v>
      </c>
      <c r="S171" s="181">
        <f>IF(C171=1,C95,IF(C171=2,D95,IF(C171=3,E95,IF(C171=4,E95,IF(C171=5,F95,IF(C171=6,G95,IF(C171=7,G95,IF(C171=8,H95,0))))))))</f>
        <v>0</v>
      </c>
      <c r="T171" s="181">
        <f>IF(C171=9,I95,IF(C171=10,J95,IF(C171=11,K95,IF(C171=12,L95,0))))</f>
        <v>0</v>
      </c>
    </row>
    <row r="172" spans="2:20" x14ac:dyDescent="0.15">
      <c r="B172" s="324" t="s">
        <v>1344</v>
      </c>
      <c r="C172" s="326">
        <f t="shared" si="10"/>
        <v>0</v>
      </c>
      <c r="D172" s="335">
        <f t="shared" si="10"/>
        <v>0</v>
      </c>
      <c r="E172" s="324">
        <f t="shared" si="11"/>
        <v>0</v>
      </c>
      <c r="F172" s="324">
        <f>積算代価!I596</f>
        <v>2.9</v>
      </c>
      <c r="G172" s="324">
        <f>積算代価!I599</f>
        <v>2.2999999999999998</v>
      </c>
      <c r="H172" s="324">
        <f>積算代価!I600</f>
        <v>1.2</v>
      </c>
      <c r="I172" s="324">
        <f t="shared" si="12"/>
        <v>0</v>
      </c>
      <c r="J172" s="324">
        <f t="shared" si="13"/>
        <v>0</v>
      </c>
      <c r="K172" s="324">
        <f t="shared" si="14"/>
        <v>0</v>
      </c>
      <c r="S172" s="181">
        <f>IF(C172=1,C95,IF(C172=2,D95,IF(C172=3,E95,IF(C172=4,E95,IF(C172=5,F95,IF(C172=6,G95,IF(C172=7,G95,IF(C172=8,H95,0))))))))</f>
        <v>0</v>
      </c>
      <c r="T172" s="181">
        <f>IF(C172=9,I95,IF(C172=10,J95,IF(C172=11,K95,IF(C172=12,L95,0))))</f>
        <v>0</v>
      </c>
    </row>
    <row r="173" spans="2:20" x14ac:dyDescent="0.15">
      <c r="B173" s="324" t="s">
        <v>1345</v>
      </c>
      <c r="C173" s="326">
        <f t="shared" si="10"/>
        <v>0</v>
      </c>
      <c r="D173" s="335">
        <f t="shared" si="10"/>
        <v>0</v>
      </c>
      <c r="E173" s="324">
        <f t="shared" si="11"/>
        <v>0</v>
      </c>
      <c r="F173" s="324">
        <f>積算代価!I596</f>
        <v>2.9</v>
      </c>
      <c r="G173" s="324">
        <f>積算代価!I599</f>
        <v>2.2999999999999998</v>
      </c>
      <c r="H173" s="324">
        <f>積算代価!I600</f>
        <v>1.2</v>
      </c>
      <c r="I173" s="324">
        <f t="shared" si="12"/>
        <v>0</v>
      </c>
      <c r="J173" s="324">
        <f t="shared" si="13"/>
        <v>0</v>
      </c>
      <c r="K173" s="324">
        <f t="shared" si="14"/>
        <v>0</v>
      </c>
      <c r="S173" s="181">
        <f>IF(C173=1,C95,IF(C173=2,D95,IF(C173=3,E95,IF(C173=4,E95,IF(C173=5,F95,IF(C173=6,G95,IF(C173=7,G95,IF(C173=8,H95,0))))))))</f>
        <v>0</v>
      </c>
      <c r="T173" s="181">
        <f>IF(C173=9,I95,IF(C173=10,J95,IF(C173=11,K95,IF(C173=12,L95,0))))</f>
        <v>0</v>
      </c>
    </row>
    <row r="174" spans="2:20" x14ac:dyDescent="0.15">
      <c r="B174" s="324" t="s">
        <v>1346</v>
      </c>
      <c r="C174" s="326">
        <f t="shared" si="10"/>
        <v>0</v>
      </c>
      <c r="D174" s="335">
        <f t="shared" si="10"/>
        <v>0</v>
      </c>
      <c r="E174" s="324">
        <f t="shared" si="11"/>
        <v>0</v>
      </c>
      <c r="F174" s="324">
        <f>積算代価!I596</f>
        <v>2.9</v>
      </c>
      <c r="G174" s="324">
        <f>積算代価!I599</f>
        <v>2.2999999999999998</v>
      </c>
      <c r="H174" s="324">
        <f>積算代価!I600</f>
        <v>1.2</v>
      </c>
      <c r="I174" s="324">
        <f t="shared" si="12"/>
        <v>0</v>
      </c>
      <c r="J174" s="324">
        <f t="shared" si="13"/>
        <v>0</v>
      </c>
      <c r="K174" s="324">
        <f t="shared" si="14"/>
        <v>0</v>
      </c>
      <c r="S174" s="181">
        <f>IF(C174=1,C95,IF(C174=2,D95,IF(C174=3,E95,IF(C174=4,E95,IF(C174=5,F95,IF(C174=6,G95,IF(C174=7,G95,IF(C174=8,H95,0))))))))</f>
        <v>0</v>
      </c>
      <c r="T174" s="181">
        <f>IF(C174=9,I95,IF(C174=10,J95,IF(C174=11,K95,IF(C174=12,L95,0))))</f>
        <v>0</v>
      </c>
    </row>
    <row r="175" spans="2:20" x14ac:dyDescent="0.15">
      <c r="B175" s="324" t="s">
        <v>1347</v>
      </c>
      <c r="C175" s="326">
        <f t="shared" si="10"/>
        <v>0</v>
      </c>
      <c r="D175" s="335">
        <f t="shared" si="10"/>
        <v>0</v>
      </c>
      <c r="E175" s="324">
        <f t="shared" si="11"/>
        <v>0</v>
      </c>
      <c r="F175" s="324">
        <f>積算代価!I596</f>
        <v>2.9</v>
      </c>
      <c r="G175" s="324">
        <f>積算代価!I599</f>
        <v>2.2999999999999998</v>
      </c>
      <c r="H175" s="324">
        <f>積算代価!I600</f>
        <v>1.2</v>
      </c>
      <c r="I175" s="324">
        <f t="shared" si="12"/>
        <v>0</v>
      </c>
      <c r="J175" s="324">
        <f t="shared" si="13"/>
        <v>0</v>
      </c>
      <c r="K175" s="324">
        <f t="shared" si="14"/>
        <v>0</v>
      </c>
      <c r="S175" s="181">
        <f>IF(C175=1,C95,IF(C175=2,D95,IF(C175=3,E95,IF(C175=4,E95,IF(C175=5,F95,IF(C175=6,G95,IF(C175=7,G95,IF(C175=8,H95,0))))))))</f>
        <v>0</v>
      </c>
      <c r="T175" s="181">
        <f>IF(C175=9,I95,IF(C175=10,J95,IF(C175=11,K95,IF(C175=12,L95,0))))</f>
        <v>0</v>
      </c>
    </row>
    <row r="176" spans="2:20" x14ac:dyDescent="0.15">
      <c r="B176" s="324" t="s">
        <v>1348</v>
      </c>
      <c r="C176" s="326">
        <f t="shared" si="10"/>
        <v>0</v>
      </c>
      <c r="D176" s="335">
        <f t="shared" si="10"/>
        <v>0</v>
      </c>
      <c r="E176" s="324">
        <f t="shared" si="11"/>
        <v>0</v>
      </c>
      <c r="F176" s="324">
        <f>積算代価!I596</f>
        <v>2.9</v>
      </c>
      <c r="G176" s="324">
        <f>積算代価!I599</f>
        <v>2.2999999999999998</v>
      </c>
      <c r="H176" s="324">
        <f>積算代価!I600</f>
        <v>1.2</v>
      </c>
      <c r="I176" s="324">
        <f t="shared" si="12"/>
        <v>0</v>
      </c>
      <c r="J176" s="324">
        <f t="shared" si="13"/>
        <v>0</v>
      </c>
      <c r="K176" s="324">
        <f t="shared" si="14"/>
        <v>0</v>
      </c>
      <c r="S176" s="181">
        <f>IF(C176=1,C95,IF(C176=2,D95,IF(C176=3,E95,IF(C176=4,E95,IF(C176=5,F95,IF(C176=6,G95,IF(C176=7,G95,IF(C176=8,H95,0))))))))</f>
        <v>0</v>
      </c>
      <c r="T176" s="181">
        <f>IF(C176=9,I95,IF(C176=10,J95,IF(C176=11,K95,IF(C176=12,L95,0))))</f>
        <v>0</v>
      </c>
    </row>
    <row r="177" spans="2:20" x14ac:dyDescent="0.15">
      <c r="B177" s="324" t="s">
        <v>1349</v>
      </c>
      <c r="C177" s="326">
        <f t="shared" si="10"/>
        <v>0</v>
      </c>
      <c r="D177" s="335">
        <f t="shared" si="10"/>
        <v>0</v>
      </c>
      <c r="E177" s="324">
        <f t="shared" si="11"/>
        <v>0</v>
      </c>
      <c r="F177" s="324">
        <f>積算代価!I596</f>
        <v>2.9</v>
      </c>
      <c r="G177" s="324">
        <f>積算代価!I599</f>
        <v>2.2999999999999998</v>
      </c>
      <c r="H177" s="324">
        <f>積算代価!I600</f>
        <v>1.2</v>
      </c>
      <c r="I177" s="324">
        <f t="shared" si="12"/>
        <v>0</v>
      </c>
      <c r="J177" s="324">
        <f t="shared" si="13"/>
        <v>0</v>
      </c>
      <c r="K177" s="324">
        <f t="shared" si="14"/>
        <v>0</v>
      </c>
      <c r="S177" s="181">
        <f>IF(C177=1,C95,IF(C177=2,D95,IF(C177=3,E95,IF(C177=4,E95,IF(C177=5,F95,IF(C177=6,G95,IF(C177=7,G95,IF(C177=8,H95,0))))))))</f>
        <v>0</v>
      </c>
      <c r="T177" s="181">
        <f>IF(C177=9,I95,IF(C177=10,J95,IF(C177=11,K95,IF(C177=12,L95,0))))</f>
        <v>0</v>
      </c>
    </row>
    <row r="178" spans="2:20" ht="14.25" thickBot="1" x14ac:dyDescent="0.2">
      <c r="B178" s="324" t="s">
        <v>1350</v>
      </c>
      <c r="C178" s="326">
        <f t="shared" si="10"/>
        <v>0</v>
      </c>
      <c r="D178" s="335">
        <f t="shared" si="10"/>
        <v>0</v>
      </c>
      <c r="E178" s="324">
        <f t="shared" si="11"/>
        <v>0</v>
      </c>
      <c r="F178" s="324">
        <f>積算代価!I596</f>
        <v>2.9</v>
      </c>
      <c r="G178" s="324">
        <f>積算代価!I599</f>
        <v>2.2999999999999998</v>
      </c>
      <c r="H178" s="329">
        <f>積算代価!I600</f>
        <v>1.2</v>
      </c>
      <c r="I178" s="329">
        <f t="shared" si="12"/>
        <v>0</v>
      </c>
      <c r="J178" s="329">
        <f t="shared" si="13"/>
        <v>0</v>
      </c>
      <c r="K178" s="329">
        <f t="shared" si="14"/>
        <v>0</v>
      </c>
      <c r="S178" s="181">
        <f>IF(C178=1,C95,IF(C178=2,D95,IF(C178=3,E95,IF(C178=4,E95,IF(C178=5,F95,IF(C178=6,G95,IF(C178=7,G95,IF(C178=8,H95,0))))))))</f>
        <v>0</v>
      </c>
      <c r="T178" s="181">
        <f>IF(C178=9,I95,IF(C178=10,J95,IF(C178=11,K95,IF(C178=12,L95,0))))</f>
        <v>0</v>
      </c>
    </row>
    <row r="179" spans="2:20" ht="15" thickTop="1" thickBot="1" x14ac:dyDescent="0.2">
      <c r="B179" s="324"/>
      <c r="C179" s="324"/>
      <c r="D179" s="335"/>
      <c r="E179" s="324"/>
      <c r="F179" s="327"/>
      <c r="G179" s="327"/>
      <c r="H179" s="327"/>
      <c r="I179" s="334">
        <f>SUM(I164:I178)</f>
        <v>162.4</v>
      </c>
      <c r="J179" s="334">
        <f>SUM(J164:J178)</f>
        <v>128.79999999999998</v>
      </c>
      <c r="K179" s="334">
        <f>SUM(K164:K178)</f>
        <v>67.2</v>
      </c>
    </row>
    <row r="180" spans="2:20" ht="14.25" thickTop="1" x14ac:dyDescent="0.15"/>
  </sheetData>
  <mergeCells count="18">
    <mergeCell ref="C76:D76"/>
    <mergeCell ref="N21:P21"/>
    <mergeCell ref="Q17:S17"/>
    <mergeCell ref="Q18:S18"/>
    <mergeCell ref="Q19:S19"/>
    <mergeCell ref="Q20:S20"/>
    <mergeCell ref="Q21:S21"/>
    <mergeCell ref="N17:P17"/>
    <mergeCell ref="N18:P18"/>
    <mergeCell ref="N19:P19"/>
    <mergeCell ref="I76:J76"/>
    <mergeCell ref="O76:P76"/>
    <mergeCell ref="N20:P20"/>
    <mergeCell ref="T21:V21"/>
    <mergeCell ref="T17:V17"/>
    <mergeCell ref="T18:V18"/>
    <mergeCell ref="T19:V19"/>
    <mergeCell ref="T20:V20"/>
  </mergeCells>
  <phoneticPr fontId="2"/>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労務単価</vt:lpstr>
      <vt:lpstr>条件入力</vt:lpstr>
      <vt:lpstr>積算代価</vt:lpstr>
      <vt:lpstr>供用日</vt:lpstr>
      <vt:lpstr>機械単価</vt:lpstr>
      <vt:lpstr>バランスシート</vt:lpstr>
      <vt:lpstr>推力計算</vt:lpstr>
      <vt:lpstr>内緒</vt:lpstr>
      <vt:lpstr>バランスシート!Print_Area</vt:lpstr>
      <vt:lpstr>供用日!Print_Area</vt:lpstr>
      <vt:lpstr>条件入力!Print_Area</vt:lpstr>
      <vt:lpstr>推力計算!Print_Area</vt:lpstr>
      <vt:lpstr>積算代価!Print_Area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ラサ工業株式会社</dc:creator>
  <cp:keywords/>
  <dc:description/>
  <cp:lastModifiedBy>永井 良知</cp:lastModifiedBy>
  <cp:revision/>
  <dcterms:created xsi:type="dcterms:W3CDTF">2002-04-30T00:47:23Z</dcterms:created>
  <dcterms:modified xsi:type="dcterms:W3CDTF">2025-05-28T06:00:08Z</dcterms:modified>
  <cp:category/>
  <cp:contentStatus/>
</cp:coreProperties>
</file>